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vori e forniture" sheetId="1" r:id="rId3"/>
    <sheet state="visible" name="Foglio1" sheetId="2" r:id="rId4"/>
    <sheet state="visible" name="Foglio2" sheetId="3" r:id="rId5"/>
    <sheet state="visible" name="Foglio3" sheetId="4" r:id="rId6"/>
  </sheets>
  <definedNames/>
  <calcPr/>
</workbook>
</file>

<file path=xl/sharedStrings.xml><?xml version="1.0" encoding="utf-8"?>
<sst xmlns="http://schemas.openxmlformats.org/spreadsheetml/2006/main" count="4214" uniqueCount="1474">
  <si>
    <t>Modalita' seguita per l'individuazione del contraente</t>
  </si>
  <si>
    <t>Impresa o altro soggetto beneficiario</t>
  </si>
  <si>
    <t>Partita IVA o Codice Fiscale</t>
  </si>
  <si>
    <t>Oggetto</t>
  </si>
  <si>
    <t>Importo (IVA esclusa)</t>
  </si>
  <si>
    <t>Norma o titolo  base dell'attribuzione</t>
  </si>
  <si>
    <t>Ufficio</t>
  </si>
  <si>
    <t>Allegato 1</t>
  </si>
  <si>
    <t>Allegato2</t>
  </si>
  <si>
    <t>Allegato3</t>
  </si>
  <si>
    <t>Allegato4</t>
  </si>
  <si>
    <t>art. 125 Dlgs 163/2006 CIG Z160BBF48D</t>
  </si>
  <si>
    <t xml:space="preserve">Basti Andrea Ingegneria </t>
  </si>
  <si>
    <t>00230178881</t>
  </si>
  <si>
    <t>Servizi</t>
  </si>
  <si>
    <t>Determina nr. 108 del 03/10/2013</t>
  </si>
  <si>
    <t>USRC</t>
  </si>
  <si>
    <t>Determinazione USRC n 108 del 2013.pdf</t>
  </si>
  <si>
    <t>Contratto di locazione nr. 131 3T art. 42 L. 392/1978</t>
  </si>
  <si>
    <t>Edil Porta Romana di Rotilio Ercole &amp; C. sas</t>
  </si>
  <si>
    <t>01161520661</t>
  </si>
  <si>
    <t>Locazione</t>
  </si>
  <si>
    <t>Determina congiunta nr. 6 del 10/9/2013</t>
  </si>
  <si>
    <t>USRC-USRA</t>
  </si>
  <si>
    <t>Determinazione USRC n 121 del 2013.pdf</t>
  </si>
  <si>
    <t>art. 125 Dlgs 163/2006 CIG Z700B6124C</t>
  </si>
  <si>
    <t>Logistica e servizi di Galgani Bruno</t>
  </si>
  <si>
    <t>01045940572</t>
  </si>
  <si>
    <t>Determina congiunta nr. 7 del 10/9/2013</t>
  </si>
  <si>
    <t>art. 125 Dlgs 163/2006 CIG ZD30B7A18F</t>
  </si>
  <si>
    <t>EM969 srl</t>
  </si>
  <si>
    <t>01442290662</t>
  </si>
  <si>
    <t>Fornitura</t>
  </si>
  <si>
    <t xml:space="preserve">Determina nr. 94 del 13/09/2013 </t>
  </si>
  <si>
    <t>Determinazione USRC n 94 del 2013.pdf</t>
  </si>
  <si>
    <t>art. 125 Dlgs 163/2006 CIG ZEB0B7A320</t>
  </si>
  <si>
    <t>Kalibra ufficio srl</t>
  </si>
  <si>
    <t>02409150022</t>
  </si>
  <si>
    <t>art. 125 Dlgs 163/2006 CIG Z9E0B6CE33</t>
  </si>
  <si>
    <t>Libreria Universitaria Benedetti Massimo</t>
  </si>
  <si>
    <t>01198130666</t>
  </si>
  <si>
    <t>Determina nr. 89 del 11/09/2013</t>
  </si>
  <si>
    <t>Determinazione USRC n 89 del 2013.pdf</t>
  </si>
  <si>
    <t>art. 125 Dlgs 163/2006 CIG 51286621CS</t>
  </si>
  <si>
    <t>Start sas</t>
  </si>
  <si>
    <t>01072580663</t>
  </si>
  <si>
    <t xml:space="preserve">Determina nr. 86 del 06/09/2013 </t>
  </si>
  <si>
    <t>Determinazione USRC n 86 del 2013.pdf</t>
  </si>
  <si>
    <t>art. 125 Dlgs 163/2006 CIG Z830B33DF3</t>
  </si>
  <si>
    <t>ZeroCould srl</t>
  </si>
  <si>
    <t>01618180663</t>
  </si>
  <si>
    <t xml:space="preserve">Determina nr. 72 del 19/08/2013 </t>
  </si>
  <si>
    <t>Determinazione USRC n 72 del 2013.pdf</t>
  </si>
  <si>
    <t>Art. 125 Dlgs 163/2006 CIG Z9909DA522 ODA MEPA</t>
  </si>
  <si>
    <t>Soffarredo srl</t>
  </si>
  <si>
    <t>01155250663</t>
  </si>
  <si>
    <t>Determina nr. 63 del 08/08/2013</t>
  </si>
  <si>
    <t>Determinazione USRC n 63 del 2013.pdf</t>
  </si>
  <si>
    <t>Art. 125 Dlgs 163/2006</t>
  </si>
  <si>
    <t>Tendarredo di D'Innocenzo Giorgio</t>
  </si>
  <si>
    <t>01425910666</t>
  </si>
  <si>
    <t xml:space="preserve">Determina nr. 71 del 07/08/2013 </t>
  </si>
  <si>
    <t>Art. 125 Dlgs 163/2006 CIG Z9E0A87753</t>
  </si>
  <si>
    <t xml:space="preserve">ERINET sas </t>
  </si>
  <si>
    <t>01716180664</t>
  </si>
  <si>
    <t xml:space="preserve">Determina nr. 58 del 01/08/2013 </t>
  </si>
  <si>
    <t>Determinazione USRC n 58 del 2013.pdf</t>
  </si>
  <si>
    <t>Art. 125 Dlgs 163/2006 CIG ZC600A81C23</t>
  </si>
  <si>
    <t>Telecom Italia Spa</t>
  </si>
  <si>
    <t>00488410010</t>
  </si>
  <si>
    <t>Determina nr. 53 del 18/07/2013</t>
  </si>
  <si>
    <t>Determinazione USRC n 53 del 2013.pdf</t>
  </si>
  <si>
    <t>Determina nr. 39 del 13/6/2013</t>
  </si>
  <si>
    <t>Determinazione USRC n 39 del 2013.pdf</t>
  </si>
  <si>
    <t>Convenzione Consip CIG 0541559C9C</t>
  </si>
  <si>
    <t>Lease plan Italia S.p.A.</t>
  </si>
  <si>
    <t>02615080963</t>
  </si>
  <si>
    <t>Determina nr. 30 del 6/6/2013</t>
  </si>
  <si>
    <t>Determinazione USRC n 30 del 2013.pdf</t>
  </si>
  <si>
    <t>Art. 125 Dlgs 163/2006 CIG ZEF0A3F884</t>
  </si>
  <si>
    <t>CentroGas</t>
  </si>
  <si>
    <t>05059471002</t>
  </si>
  <si>
    <t>Accordo CNIPA CIG 5150630256</t>
  </si>
  <si>
    <t>PathNet</t>
  </si>
  <si>
    <t>05815611008</t>
  </si>
  <si>
    <t>Lavori</t>
  </si>
  <si>
    <t>Determina nr. 26 del 29/5/2013</t>
  </si>
  <si>
    <t>Determinazione USRC n 26 del 2013.pdf</t>
  </si>
  <si>
    <t>Convenzione Consip Prot. 15886 CIG 5150630256</t>
  </si>
  <si>
    <t>TelecomItalia S.p.A.</t>
  </si>
  <si>
    <t>MePA ODA CIG Z2609D4086</t>
  </si>
  <si>
    <t>Injenia srl</t>
  </si>
  <si>
    <t>03008670360</t>
  </si>
  <si>
    <t>Determina nr. 15 del 9/5/2013</t>
  </si>
  <si>
    <t>Determinazione USRC n 15 del 2013.pdf</t>
  </si>
  <si>
    <t>Art. 125 Dlgs 163/2006 CIG Z0109CB812</t>
  </si>
  <si>
    <t>Enel Energia S.p.A.</t>
  </si>
  <si>
    <t>06655971007</t>
  </si>
  <si>
    <t>Determinazione USRC n 14 del 2013.pdf</t>
  </si>
  <si>
    <t>Art. 125 Dlgs 163/2006 CIG ZCD09DA471</t>
  </si>
  <si>
    <t>Ditta Guarascio Pasquale</t>
  </si>
  <si>
    <t>01387650664</t>
  </si>
  <si>
    <t>Determina nr. 4 del 18/3/2013</t>
  </si>
  <si>
    <t>Determinazione USRC n 4 del 2013.pdf</t>
  </si>
  <si>
    <t>Ditta Esposito Gennaro</t>
  </si>
  <si>
    <t>02554270641</t>
  </si>
  <si>
    <t>Art. 125 Dlgs 163/2006 CIG Z020A1A052</t>
  </si>
  <si>
    <t>Sascha Cerini</t>
  </si>
  <si>
    <t>01451460669</t>
  </si>
  <si>
    <t>Determina nr. 2 del 1/3/2013</t>
  </si>
  <si>
    <t>Determinazione USRC n 2 del 2013.pdf</t>
  </si>
  <si>
    <t>Determinazione USRC n 2 Allegato1 del 2013.pdf</t>
  </si>
  <si>
    <t>Determinazione USRC n 93 del 2013.pdf</t>
  </si>
  <si>
    <t>Art. 125 Dlgs 163/2006 CIG Z870C817B8</t>
  </si>
  <si>
    <t>TINN srl</t>
  </si>
  <si>
    <t>00984390674</t>
  </si>
  <si>
    <t>Determina nr. 149 del 22/11/2013</t>
  </si>
  <si>
    <t>Art. 125 Dlgs 163/2006 CIG Z5100C60B52</t>
  </si>
  <si>
    <t>CINEAS</t>
  </si>
  <si>
    <t>08806930155</t>
  </si>
  <si>
    <t>Determina nr. 153 del 27/11/2013</t>
  </si>
  <si>
    <t>Rep 6 del 19 dicembre 2013 CINEAS</t>
  </si>
  <si>
    <t>Art. 125 Dlgs 163/2006 CIG ZAD0C60B9B</t>
  </si>
  <si>
    <t>UNIVERSITA' FEDERICO II</t>
  </si>
  <si>
    <t>00876220633</t>
  </si>
  <si>
    <t>Determina nr. 162 del 5/12/2013</t>
  </si>
  <si>
    <t>Rep n. 1 del 10 gennaio 2014 Università Federico II di Napoli</t>
  </si>
  <si>
    <t>Art. 125 Dlgs 163/2006 CIG ZD60CDA038</t>
  </si>
  <si>
    <t>Determina nr. 177 del 10/12/2013</t>
  </si>
  <si>
    <t>Art. 125 Dlgs 163/2006 CIG Z860CD50CF</t>
  </si>
  <si>
    <t>Sadi Italia snc</t>
  </si>
  <si>
    <t>01310400682</t>
  </si>
  <si>
    <t>forniture</t>
  </si>
  <si>
    <t>Determina nr. 182 del 11/12/2013</t>
  </si>
  <si>
    <t>Art. 125 Dlgs 163/2006 CIG Z540CFBDB2</t>
  </si>
  <si>
    <t>ITC CNR</t>
  </si>
  <si>
    <t>02118311066</t>
  </si>
  <si>
    <t>Determina nr. 197 del 20/12/2013</t>
  </si>
  <si>
    <t>Rep n. 3 del 20 gennaio 2014 CNR</t>
  </si>
  <si>
    <t>Art. 125 Dlgs 163/2006  CIG Z310D10B6D</t>
  </si>
  <si>
    <t>Determina nr. 200 del 30/12/2013</t>
  </si>
  <si>
    <t>Adempimenti ex D.lgs 9 aprile 2008, n. 81</t>
  </si>
  <si>
    <t>Basti Andrea Ingegneria</t>
  </si>
  <si>
    <t>Proroga tecnica</t>
  </si>
  <si>
    <t>Determina nr. 201 del 30/12/2013</t>
  </si>
  <si>
    <t>Art. 125 Dlgs 163/2006 CIG ZA10D3A8E1</t>
  </si>
  <si>
    <t>IRES srl</t>
  </si>
  <si>
    <t>05008051004</t>
  </si>
  <si>
    <t>Determina nr. 2 del 08/01/2014</t>
  </si>
  <si>
    <t>pubblicazione servizio BURAT PP.AA. L.R. Abruzzo n. 51 9/122010</t>
  </si>
  <si>
    <t>Regione Abruzzo</t>
  </si>
  <si>
    <t>80003170661</t>
  </si>
  <si>
    <t>Determina nr. 24 del 13/02/2014</t>
  </si>
  <si>
    <t>Art. 125 Dlgs 163/2006 CIG Z590E3AIA3 CUP C59GI4000000001</t>
  </si>
  <si>
    <t>Fondazione Censis DPR 11 ottobre 1973 n. 712</t>
  </si>
  <si>
    <t>00968181008</t>
  </si>
  <si>
    <t>Determina nr. 51 del 10/03/2014</t>
  </si>
  <si>
    <t>Determina nr. 59 del 24/03/2014</t>
  </si>
  <si>
    <t>Art. 125 Dlgs 163/2006 CIG Z3D0C08AE1 CIG Z620C08C07</t>
  </si>
  <si>
    <t>Antincendio aquilano snc</t>
  </si>
  <si>
    <t>01392580665</t>
  </si>
  <si>
    <t>Servizi e forniture</t>
  </si>
  <si>
    <t>Determina nr. 74 del 04/04/2014</t>
  </si>
  <si>
    <t>Art. 125 Dlgs 163/2006 CIG ZAE0D819CE</t>
  </si>
  <si>
    <t>Kora sistemi Informatici srl</t>
  </si>
  <si>
    <t>02048930206</t>
  </si>
  <si>
    <t>Determina nr. 83 del 17/04/2014</t>
  </si>
  <si>
    <t>Determina nr. 84 del 17/04/2014</t>
  </si>
  <si>
    <t xml:space="preserve">Art. 125 Dlgs 163/2006 </t>
  </si>
  <si>
    <t>Determina nr. 111 del 15/05/2014</t>
  </si>
  <si>
    <t>Convenzione Consip Prot. 15886 CIG 5150630256 - inizio esercizio fornitura e liquidazione canoni a scalare</t>
  </si>
  <si>
    <t>Determina nr. 115del 23/5/2014</t>
  </si>
  <si>
    <t>Art. 125 Dlgs 163/2006 CIG Z780B6FBD8</t>
  </si>
  <si>
    <t>Sascha Cerini - proroga tecnica</t>
  </si>
  <si>
    <t>Determina nr. 130 del 30/05/2014</t>
  </si>
  <si>
    <t>Art. 125 Dlgs 163/2006 CIG Z890F7DCAA CIG Z7F0F7DCE9</t>
  </si>
  <si>
    <t>Determina nr. 131 del 03/06/2014</t>
  </si>
  <si>
    <t>Art. 125 Dlgs 163/2006  - Progetto Salone Ricostruzione</t>
  </si>
  <si>
    <t>Carsa srl - Artika srl -2BITE srl</t>
  </si>
  <si>
    <t xml:space="preserve">01158870681 - 01737650661 -01610050666 </t>
  </si>
  <si>
    <t>Determina nr. 144 del 13/06/2014</t>
  </si>
  <si>
    <t>Sorveglianza sanitaria dei lavoratori - Università dell'Aquila -Dip. Scienze cliniche applicate e biotec</t>
  </si>
  <si>
    <t>01021630668</t>
  </si>
  <si>
    <t>Determina nr. 145 del 23/06/2014</t>
  </si>
  <si>
    <t>Determina nr. 155 del 27/06/2014</t>
  </si>
  <si>
    <t>Art. 125 Dlgs 163/2006  CIG ZEF105EC01</t>
  </si>
  <si>
    <t>Termoservice Impianti snc</t>
  </si>
  <si>
    <t>01419700669</t>
  </si>
  <si>
    <t>Determina nr. 191 del 1/08/2014</t>
  </si>
  <si>
    <t>Art. 125 Dlgs 163/2006 - Abbonamenti</t>
  </si>
  <si>
    <t>Piemme spa Concessionaria di pubblicità</t>
  </si>
  <si>
    <t>05122191009</t>
  </si>
  <si>
    <t>Determina nr. 210 del 26/08/2014</t>
  </si>
  <si>
    <t>Art. 125 Dlgs 163/2006 CIG ZC510C441B</t>
  </si>
  <si>
    <t>Telecentral spa</t>
  </si>
  <si>
    <t>01389830660</t>
  </si>
  <si>
    <t>Determina nr. 233 del 15/09/2014</t>
  </si>
  <si>
    <t>Disinfest Control srl</t>
  </si>
  <si>
    <t>01500750680</t>
  </si>
  <si>
    <t>Determina nr. 277 del 10/10/2014</t>
  </si>
  <si>
    <t>Art. 125 Dlgs 163/2006 CIG Z46115F3CC</t>
  </si>
  <si>
    <t>Determina nr. 288 del 22/10/2014</t>
  </si>
  <si>
    <t>Art. 125 Dlgs 163/2006 CIG Z8B1211FCB</t>
  </si>
  <si>
    <t>Legislazione Tecnica srl</t>
  </si>
  <si>
    <t>05383391009</t>
  </si>
  <si>
    <t>Determina nr. 324 del 18/11/2014</t>
  </si>
  <si>
    <t>Art. 125 Dlgs 163/2006 CIG Z3511D76D1</t>
  </si>
  <si>
    <t>Determina nr. 325 del 18/11/2014</t>
  </si>
  <si>
    <t>Art. 125 Dlgs 163/2006 Art. 40 comma 1ter DL 98/2011</t>
  </si>
  <si>
    <t>adeguamento aliquota iva affidamento Erinet sas</t>
  </si>
  <si>
    <t>Determina nr. 326 del 18/11/2014</t>
  </si>
  <si>
    <t>Misure di prevenzione incendi - Comando Provinciale VV.F.</t>
  </si>
  <si>
    <t>CT174672</t>
  </si>
  <si>
    <t>Determina nr. 339 del 3/12/2014</t>
  </si>
  <si>
    <t>Taglieri Mauro Consulenza aziendale Sicurezza ed Igiene nei luoghi di lavoro</t>
  </si>
  <si>
    <t>01094610662</t>
  </si>
  <si>
    <t>Determina nr. 17 del 16/01/2015</t>
  </si>
  <si>
    <t>Art. 125 Dlgs 163/2006 - Due Diligence</t>
  </si>
  <si>
    <t>Studio Legale Associato Dell'Orso D'Alfonso Panebianco</t>
  </si>
  <si>
    <t>01564560660</t>
  </si>
  <si>
    <t>Determina nr. 31 del 21/01/2015</t>
  </si>
  <si>
    <t>Determina nr. 32 del 22/01/2015</t>
  </si>
  <si>
    <t>Art. 125 Dlgs 163/2006  CIG Z3D13BF872</t>
  </si>
  <si>
    <t xml:space="preserve">Veba snc </t>
  </si>
  <si>
    <t>00210570669</t>
  </si>
  <si>
    <t>Determina nr. 122 del 20/03/2015</t>
  </si>
  <si>
    <t>Art. 125 Dlgs 163/2006 ODA Mepa CIG Z941432d9b</t>
  </si>
  <si>
    <t>Determina nr. 230 del 29/05/2015</t>
  </si>
  <si>
    <t>Art. 125 Dlgs 163/2006  CIG Z5E14D124F</t>
  </si>
  <si>
    <t>Determina nr. 231 del 3/06/2015</t>
  </si>
  <si>
    <t>Convenzione Consip CIG derivato 6294921D21 CIG Z0F1516A70</t>
  </si>
  <si>
    <t>TelecomItalia S.p.A. Proroga contratto esecutivo OPA</t>
  </si>
  <si>
    <t>Determina nr. 250 del 3/6/2015</t>
  </si>
  <si>
    <t>Art. 125 Dlgs 163/2006 CIG Z6614EFCBD</t>
  </si>
  <si>
    <t>Determina nr. 264 del 12/06/2015</t>
  </si>
  <si>
    <t>Art. 125 Dlgs 163/2006  CIG ZA215041C2 -Z4715046A5</t>
  </si>
  <si>
    <t>Carsa srl - Artika srl</t>
  </si>
  <si>
    <t>01158870681 - 01737650661</t>
  </si>
  <si>
    <t>Determina nr. 274 del 17/06/2015</t>
  </si>
  <si>
    <t>Art. 7 comma 4 Dlgs 165/01 CIG ZF1150D392 - Z45150D446</t>
  </si>
  <si>
    <t>Q110</t>
  </si>
  <si>
    <t>01547340669</t>
  </si>
  <si>
    <t>Determina nr. 284 del 18/06/2015</t>
  </si>
  <si>
    <t>Art. 125 Dlgs 163/2006 CIG Z2114F63B8</t>
  </si>
  <si>
    <t>Tipolito 95 snc</t>
  </si>
  <si>
    <t>01372060663</t>
  </si>
  <si>
    <t>Determina nr. 304 del 29/06/2015</t>
  </si>
  <si>
    <t>Art. 125 Dlgs 163/2006 CIG ZE71540878</t>
  </si>
  <si>
    <t>Wolters Kluwer -Gruppo Leggi d'Italia</t>
  </si>
  <si>
    <t>10209790152</t>
  </si>
  <si>
    <t>Determina nr. 317 del 3/07/2015</t>
  </si>
  <si>
    <t>Art. 125 Dlgs 163/2006 CIG ZED151DE29</t>
  </si>
  <si>
    <t>Logistica e servizi</t>
  </si>
  <si>
    <t>Determina nr. 319 del 7/07/2015</t>
  </si>
  <si>
    <t>Art. 125 Dlgs 163/2006 CIG Z41156E056</t>
  </si>
  <si>
    <t>Planet 99 srl</t>
  </si>
  <si>
    <t>01893780666</t>
  </si>
  <si>
    <t>Determina nr. 345 del 17/07/2015</t>
  </si>
  <si>
    <t>Art. 125 Dlgs 163/2006 CIG Z491582CE9</t>
  </si>
  <si>
    <t>Taglieri Mauro Sicurezza sul lavoro</t>
  </si>
  <si>
    <t>Determina nr. 360 del 23/07/2015</t>
  </si>
  <si>
    <t>Art. 125 Dlgs 163/2006 CIG 6000345954</t>
  </si>
  <si>
    <t>Sascha Cerini - liquidazione fattura</t>
  </si>
  <si>
    <t>Determina nr. 534 del 26/10/2015</t>
  </si>
  <si>
    <t>Determina nr. 559 del 3/11/2015</t>
  </si>
  <si>
    <t>Determina nr. 560 del 3/11/2015</t>
  </si>
  <si>
    <t>Determina nr. 584 del 13/11/2015</t>
  </si>
  <si>
    <t>Determina nr. 585 del 13/11/2015</t>
  </si>
  <si>
    <t>Art. 125 Dlgs 163/2006  CIG Z7E1642379 - ZED100D080 - Z13164240C - ZED100D080 - Z981642499 - Z72170852 - Z3F1720948</t>
  </si>
  <si>
    <t>Poste Italiane spa</t>
  </si>
  <si>
    <t>Determina nr. 595 del 17/11/2015</t>
  </si>
  <si>
    <t>Art. 125 Dlgs 163/2006  CIG Z30157601E</t>
  </si>
  <si>
    <t>Determina nr. 597 del 17/11/2015</t>
  </si>
  <si>
    <t>Art. 125 Dlgs 163/2006 cottimo fiduciario CIG 6000345954</t>
  </si>
  <si>
    <t>Determina nr. 607 del 20/11/2015</t>
  </si>
  <si>
    <t>Art. 125 Dlgs 163/2006  CIG Z6815D8337</t>
  </si>
  <si>
    <t>Liber srl</t>
  </si>
  <si>
    <t>01795670668</t>
  </si>
  <si>
    <t>Determina nr. 608 del 20/11/2015</t>
  </si>
  <si>
    <t>Art. 125 Dlgs 163/2006 CIG Z55173E3E0</t>
  </si>
  <si>
    <t>Determina nr. 611 del 24/11/2015</t>
  </si>
  <si>
    <t>Art. 125 Dlgs 163/2006 CIG Z111741438</t>
  </si>
  <si>
    <t>TGLMRA63L22I804F</t>
  </si>
  <si>
    <t>Determina nr. 613 del 24/11/2015</t>
  </si>
  <si>
    <t>Art. 125 Dlgs 163/2006 CIG Z2F1742B03</t>
  </si>
  <si>
    <t>DISCAB - Dipartimento di scienze cliniche applicate biotecnologiche</t>
  </si>
  <si>
    <t>Determina nr. 614 del 24/11/2015</t>
  </si>
  <si>
    <t>Art. 125 Dlgs 163/2006 - - Due Diligence - CIG Z0B1759ACA</t>
  </si>
  <si>
    <t>IT01564560660</t>
  </si>
  <si>
    <t>Servizio di consulenza</t>
  </si>
  <si>
    <t>Determina nr. 615 del 25/11/2015</t>
  </si>
  <si>
    <t>Art. 125 Dlgs 163/2006  CIG Z41156E056</t>
  </si>
  <si>
    <t>Planett 99 srl</t>
  </si>
  <si>
    <t>Determina nr. 621 del 25/11/2015</t>
  </si>
  <si>
    <t>Art. 125 Dlgs 163/2006  CIG ZDE15F41C2</t>
  </si>
  <si>
    <t>Determina nr. 629 del 26/11/2015</t>
  </si>
  <si>
    <t>Art. 125 Dlgs 163/2006 CIG Z8415E5A9F - ZED15DB1D9 - Z910BD1791 - Z451579EA5 - ZF11748F58</t>
  </si>
  <si>
    <t>Tecnolinea srl</t>
  </si>
  <si>
    <t>00659730675</t>
  </si>
  <si>
    <t>Determina nr. 630 del 26/11/2015</t>
  </si>
  <si>
    <t>Determina nr. 631 del 26/11/2015</t>
  </si>
  <si>
    <t>Determina nr. 632 del 26/11/2015</t>
  </si>
  <si>
    <t>Determina nr. 633 del 26/11/2015</t>
  </si>
  <si>
    <t>Determina nr. 634 del 26/11/2015</t>
  </si>
  <si>
    <t>Art. 125 Dlgs 163/2006 CIG ZB9174AE55</t>
  </si>
  <si>
    <t>Determina nr. 638 del 26/11/2015</t>
  </si>
  <si>
    <t>Art. 125 Dlgs 163/2006 CIG Z74174CCC2</t>
  </si>
  <si>
    <t>Determina nr. 639 del 26/11/2015</t>
  </si>
  <si>
    <t>Art. 125 Dlgs 163/2006 CIG ZB716723D6</t>
  </si>
  <si>
    <t>Determina nr. 648 del 27/11/2015</t>
  </si>
  <si>
    <t>Contributo stazioni appaltanti  - delibera AVCP del 03/11/2010</t>
  </si>
  <si>
    <t>ANAC</t>
  </si>
  <si>
    <t>97584460584</t>
  </si>
  <si>
    <t>Contributi</t>
  </si>
  <si>
    <t>Determina nr. 649 del 27/11/2015</t>
  </si>
  <si>
    <t>contratto di locazione ad uso non abitativo art.  42 L. 392/78 CIG Z0A175443D</t>
  </si>
  <si>
    <t>Edil Porta Romana di rotilio ercole e C. sas</t>
  </si>
  <si>
    <t>Determina nr. 650 del 27/11/2015</t>
  </si>
  <si>
    <t>Art. 125 Dlgs 163/2006 CIG ZD61752DC4</t>
  </si>
  <si>
    <t>Determina nr. 652 del 27/11/2015</t>
  </si>
  <si>
    <t>Art. 125 Dlgs 163/2006 - - Due Diligence - CIG ZCF1753E82</t>
  </si>
  <si>
    <t>DLFVCN60E11H501L</t>
  </si>
  <si>
    <t>Determina nr. 653 del 30/11/2015</t>
  </si>
  <si>
    <t>Art. 125 Dlgs 163/2006 CIG Z841724123</t>
  </si>
  <si>
    <t xml:space="preserve">Leonardis Giuseppe </t>
  </si>
  <si>
    <t>01262190661</t>
  </si>
  <si>
    <t>Determina nr. 662 del 17/12/2015</t>
  </si>
  <si>
    <t>Determina nr. 671 del 18/12/2015</t>
  </si>
  <si>
    <t>Determina nr. 672 del 18/12/2015</t>
  </si>
  <si>
    <t>Art. 125 Dlgs 163/2006 CIG: ZBF17D4EFC</t>
  </si>
  <si>
    <t>Studio Legale Tonucci &amp; Partners</t>
  </si>
  <si>
    <t>05008211004</t>
  </si>
  <si>
    <t>Determina nr. 675 del 29/12/2015</t>
  </si>
  <si>
    <t>Art. 125 Dlgs 163/2006 CIG: 62843097D6</t>
  </si>
  <si>
    <t>ARVAL SERVICE LEASE ITALIA SPA</t>
  </si>
  <si>
    <t>00879960524</t>
  </si>
  <si>
    <t>Determina nr. 34 del 17/03/2016</t>
  </si>
  <si>
    <t xml:space="preserve">Art. 125 Dlgs 163/2006 CIG ZDF19056BC - Z7619056DE -ZA219056F6 </t>
  </si>
  <si>
    <t>Determina nr. 35 del 17/03/2016</t>
  </si>
  <si>
    <t>Art. 125 Dlgs 163/2006 CIG Z9415942FD</t>
  </si>
  <si>
    <t>Elettroimpianti 99 SNC</t>
  </si>
  <si>
    <t>1509300669</t>
  </si>
  <si>
    <t>Determina nr. 122 del 01/04/2016</t>
  </si>
  <si>
    <t>Convenzione Consip CIG 51321174EC</t>
  </si>
  <si>
    <t>Determina nr. 119 del 01/04/2016</t>
  </si>
  <si>
    <t xml:space="preserve">Art. 125 Dlgs 163/2006 CIG ZED100D080; CIG ZED1904AD2; CIG  Z5E1904B7F; CIG Z9D1904BCF; CIG Z721904BFC; CIG ZED100D080; </t>
  </si>
  <si>
    <t>Poste Italiane SPA</t>
  </si>
  <si>
    <t>97103880585</t>
  </si>
  <si>
    <t>Determina nr. 150 del 13/04/2016</t>
  </si>
  <si>
    <t xml:space="preserve">Art. 125 Dlgs 163/2006 CIG: ZA013672D2; CIG ZBE1904DD7; CIG Z9C17DDD86; </t>
  </si>
  <si>
    <t>Tecnolinea SRL</t>
  </si>
  <si>
    <t>Determina nr. 159 del 14/04/2016</t>
  </si>
  <si>
    <t>Determina nr. 185 del 29/04/2016</t>
  </si>
  <si>
    <t>Art. 125 Dlgs 163/2006 CIG: Z9C1932407</t>
  </si>
  <si>
    <t xml:space="preserve">START S.N.C. </t>
  </si>
  <si>
    <t>Determina n. 191 del 04/05/2016</t>
  </si>
  <si>
    <t>x</t>
  </si>
  <si>
    <t>Art. 7 comma 4 Dlgs 165/01 CIG Z45150d446</t>
  </si>
  <si>
    <t>Determina n. 203 del 09/05/2016</t>
  </si>
  <si>
    <t>Determina n. 230 del 19/05/2016</t>
  </si>
  <si>
    <t>Art. 125 Dlgs 163/2006 CIG Z6219FCD83</t>
  </si>
  <si>
    <t>Determina n. 266 del 31/05/2016</t>
  </si>
  <si>
    <t>Art. 36 comma 2 lettera a) Dlgs 50/2016 CIG Z55173E3E0</t>
  </si>
  <si>
    <t>Tinn Srl</t>
  </si>
  <si>
    <t>Determina n. 330 del 21/06/2016</t>
  </si>
  <si>
    <t>Art. 36 comma 2 lettera a) Dlgs 50/2016 CIG Z7A19057F2 ; CIG Z4C190584B ; CIG ZE91905873 ; CIG Z4D1905890 ;</t>
  </si>
  <si>
    <t>Telepass spa ed Autostrade spa</t>
  </si>
  <si>
    <t>09771701001</t>
  </si>
  <si>
    <t>Determina n. 355 del 27/06/2016</t>
  </si>
  <si>
    <t>Art. 125 Dlgs 163/2006 CIG: Z1E17AB6F4</t>
  </si>
  <si>
    <t>Aruba PEC SRL</t>
  </si>
  <si>
    <t>01879020517</t>
  </si>
  <si>
    <t>Determina n. 356 del 27/06/2016</t>
  </si>
  <si>
    <t>Convenzione Consip CIG: ZB41A75F73</t>
  </si>
  <si>
    <t>Determina n. 366 del 01/07/2016</t>
  </si>
  <si>
    <t>Art. 125 Dlgs 163/2006 CIG: ZAC1A5E1DA</t>
  </si>
  <si>
    <t>Determina n. 371 del 04/07/2016</t>
  </si>
  <si>
    <t>ex Art. 125 Dlgs 163/2006 CIG: Z0F156330B</t>
  </si>
  <si>
    <t>EM 969 srl</t>
  </si>
  <si>
    <t>Determina n. 372 del 04/07/2016</t>
  </si>
  <si>
    <t>Determina n. 374 del 05/07/2016</t>
  </si>
  <si>
    <t>Determina n. 375 del 05/07/2016</t>
  </si>
  <si>
    <t>Art. 125 Dlgs 163/2006 CIG: Z6219FCD83</t>
  </si>
  <si>
    <t>6655971007</t>
  </si>
  <si>
    <t>Determina n. 382 del 11/07/2016</t>
  </si>
  <si>
    <t>Art. 125 Dlgs 163/2006 CIG: Z7C1A0B21B</t>
  </si>
  <si>
    <t>Determina n. 383 del 11/07/2016</t>
  </si>
  <si>
    <t>Art. 125 Dlgs 163/2006 CIG:Z14175AEDD</t>
  </si>
  <si>
    <t>Liber (materiale igienico)</t>
  </si>
  <si>
    <t>Determina n. 386 del 12/07/2016</t>
  </si>
  <si>
    <t>Art. 125 Dlgs 163/2006 CIG:Z5E14D124F</t>
  </si>
  <si>
    <t>Termoservice SRL</t>
  </si>
  <si>
    <t>Determina n. 388 del 12/07/2016</t>
  </si>
  <si>
    <t>Art. 125 Dlgs 163/2006 CIG: Z861A9E201</t>
  </si>
  <si>
    <t>Telecom Italia S.p.A.</t>
  </si>
  <si>
    <t>Determina n. 389 del 12/07/2016</t>
  </si>
  <si>
    <t>Art. 36 comma 2 lettera a) Dlgs 50/2016  CIG: ZAE1A9E3F6</t>
  </si>
  <si>
    <t>Determina n. 391 del 12/07/2016</t>
  </si>
  <si>
    <t>Art. 36 comma 2 lettera a) Dlgs 50/2016  CIG: Z55173E3E0</t>
  </si>
  <si>
    <t>Maggioli</t>
  </si>
  <si>
    <t>Determina n. 398 del 15/07/2016</t>
  </si>
  <si>
    <t>Art. 125 Dlgs 163/2006 CIG: Z591AA4A8D</t>
  </si>
  <si>
    <t>TOTAL CENTROGAS s.r.l.</t>
  </si>
  <si>
    <t>Determina n. 399 del 15/07/2016</t>
  </si>
  <si>
    <t>ex Art. 125 Dlgs 163/2006 CIG: ZC51C441B</t>
  </si>
  <si>
    <t>TELECENTRAL</t>
  </si>
  <si>
    <t>Determina 403 del 19/07/2016</t>
  </si>
  <si>
    <t>ex Art. 125 Dlgs 163/2006 CIG: Z74174CCC2</t>
  </si>
  <si>
    <t>Determina 404 del 19/07/2016</t>
  </si>
  <si>
    <t>Determina n. 430 del 25/07/2016</t>
  </si>
  <si>
    <t>Determina n. 432 del 25/07/2016</t>
  </si>
  <si>
    <t>Art. 36 comma 2 lettera a) Dlgs 50/2016 CIG: ZA51A54608</t>
  </si>
  <si>
    <t>LogMaIn</t>
  </si>
  <si>
    <t>IE9834481A</t>
  </si>
  <si>
    <t>Determina n. 436 del 26/07/2016</t>
  </si>
  <si>
    <t>Art. 125 Dlgs 163/2006 CIG: 6294921D21</t>
  </si>
  <si>
    <t>Olivetti (fibra ottica)</t>
  </si>
  <si>
    <t>02298700010</t>
  </si>
  <si>
    <t>Determina n. 442 del 27/07/2016</t>
  </si>
  <si>
    <t>USRC/UTR</t>
  </si>
  <si>
    <t>Art. 125 Dlgs 163/2006 CIG: Z0F1516A70</t>
  </si>
  <si>
    <t>Determina n. 443 del 27/07/2016</t>
  </si>
  <si>
    <t>Determina n. 446 del 27/07/2016</t>
  </si>
  <si>
    <t>UTR</t>
  </si>
  <si>
    <t>Art. 36 comma 2 lettera a) Dlgs 50/2016  CIG: Z2519B6B1A</t>
  </si>
  <si>
    <t>Ditta Individuale SASCHA CERINI</t>
  </si>
  <si>
    <t>Determina n. 452 del 28/07/2016</t>
  </si>
  <si>
    <t>Art. 36 comma 2 lettera a) Dlgs 50/2016 CIG: Z771A663B2</t>
  </si>
  <si>
    <t>Determina n. 454 del 28/07/2016</t>
  </si>
  <si>
    <t>Art. 125 Dlgs 163/2006 CIG: ZB9174AE55</t>
  </si>
  <si>
    <t>Determina n. 480 del 09/08/2016</t>
  </si>
  <si>
    <t>Art. 125 Dlgs 163/2006 CIG Z591AA4A8D</t>
  </si>
  <si>
    <t>Determina n. 463 del 08/08/2016</t>
  </si>
  <si>
    <t>ex Art. 125 Dlgs 163/2006 CIG ZE71540878</t>
  </si>
  <si>
    <t>Determina n. 457 del 03/08/2016</t>
  </si>
  <si>
    <t>Art. 36 comma 2 lettera a) Dlgs 50/2016 CIG: Z5E199DBBA n. oda 2910610</t>
  </si>
  <si>
    <t>Decart (A3 ed A4)</t>
  </si>
  <si>
    <t>01916890690</t>
  </si>
  <si>
    <t>Determina n. 456 del 03/08/2016</t>
  </si>
  <si>
    <t>Art. 125 Dlgs 163/2006 CIG: Z821942D97 n. oda 2858725</t>
  </si>
  <si>
    <t>Determina 458 del 03/08/2016</t>
  </si>
  <si>
    <t>Art. 36 comma 2 lettera a) Dlgs 50/2016 CIG: ZC71A3AF7A n. oda 2996199</t>
  </si>
  <si>
    <t>Determina 459 del 03/08/2016</t>
  </si>
  <si>
    <t>Art. 125 Dlgs 163/2006 CIG: Z75195DB74.</t>
  </si>
  <si>
    <t>C2 srl (toner)</t>
  </si>
  <si>
    <t>01121130197</t>
  </si>
  <si>
    <t>Determina 460 del 04/08/2016</t>
  </si>
  <si>
    <t>Determina 461 del 04/08/2016</t>
  </si>
  <si>
    <t>Determina 493 del 29/08/2016</t>
  </si>
  <si>
    <t>Determina 494 del 01/09/2016</t>
  </si>
  <si>
    <t>Art. 36 comma 2 lettera a) Dlgs 50/2016 CIG: ZD21AA6F16 OdA n. 3066881</t>
  </si>
  <si>
    <t>Determina 497 del 01/09/2016</t>
  </si>
  <si>
    <t>ECO LASER INFORMATICA SRL</t>
  </si>
  <si>
    <t>04427081007</t>
  </si>
  <si>
    <t>Determina 507 del 05/09/2016</t>
  </si>
  <si>
    <t>Art. 36 comma 2 lettera a) Dlgs 50/2016 CIG: ZDA1AED7CD</t>
  </si>
  <si>
    <t xml:space="preserve">Ferramenta de Matteis </t>
  </si>
  <si>
    <t>DLZGNI67B04A345A</t>
  </si>
  <si>
    <t>Determina 526 del 20/09/2016</t>
  </si>
  <si>
    <t>Art. 36 comma 2 lettera a) Dlgs 50/2016 CIG: ZC11AFAEA6</t>
  </si>
  <si>
    <t>Ferramenta de Matteis</t>
  </si>
  <si>
    <t>Determina 527 del 20/09/2016</t>
  </si>
  <si>
    <t>Determina 544 del 22/09/2016</t>
  </si>
  <si>
    <t>Determina n. 554 del 27/09/2016</t>
  </si>
  <si>
    <t>Determina 555 del 27/09/2016</t>
  </si>
  <si>
    <t>Determina 556 del 28/09/2016</t>
  </si>
  <si>
    <t>Determina 561 del 29/09/2016</t>
  </si>
  <si>
    <t>ex Art. 125 Dlgs 163/2006 CIG: Z591AA4A8D</t>
  </si>
  <si>
    <t>Determina 582 del 11/10/2016</t>
  </si>
  <si>
    <t>Art. 36 comma 2 lettera a) Dlgs 50/2016 CIG: Z9B1B445CB</t>
  </si>
  <si>
    <t>SOLUZIONE UFFICIO SRL</t>
  </si>
  <si>
    <t>02778750246</t>
  </si>
  <si>
    <t>Determina 663 del 16/11/2016</t>
  </si>
  <si>
    <t>Determina 665 del 16/11/2016</t>
  </si>
  <si>
    <t>Art. 36 comma 2 lettera a) Dlgs 50/2016 CIG: ZC41AE000D n. oda 3144246</t>
  </si>
  <si>
    <t>Determina 667 del 16/11/2016</t>
  </si>
  <si>
    <t>Determina 668 del 16/11/2016</t>
  </si>
  <si>
    <t>Determina 671 del 16/11/2016</t>
  </si>
  <si>
    <t>Determina 641 del 09/11/2016</t>
  </si>
  <si>
    <t>Art. 36 comma 2 lettera a) Dlgs 50/2016 CIG: Z361B41ECE</t>
  </si>
  <si>
    <t>EUROTECNO</t>
  </si>
  <si>
    <t>04585871009</t>
  </si>
  <si>
    <t>Determina 626 del 25/10/2016</t>
  </si>
  <si>
    <t>Determina 595 del 20/10/2016</t>
  </si>
  <si>
    <t>Regione Abruzzo - BURAT</t>
  </si>
  <si>
    <t>Determina 647 del 09/11/2016</t>
  </si>
  <si>
    <t>Art. 36 comma 2 lettera a) Dlgs 50/2016 CIG Z511AD81F3; oda 3170986</t>
  </si>
  <si>
    <t>Igroscart srl</t>
  </si>
  <si>
    <t>01469840662</t>
  </si>
  <si>
    <t>Determina 573 del 05/10/2016</t>
  </si>
  <si>
    <t>Determina 673 del  21/11/2016</t>
  </si>
  <si>
    <t>Art. 125 Dlgs 163/2006 CIG:Z111741438</t>
  </si>
  <si>
    <t>Sicurezza nei luoghi di lavoro – Assunzione incarico RSPP- Taglieri Mauro</t>
  </si>
  <si>
    <t>1094610662</t>
  </si>
  <si>
    <t>determina 674 del 21/11/2016</t>
  </si>
  <si>
    <t>Determina 686 del 30/11/2016</t>
  </si>
  <si>
    <t>Determina 685 del 30/11/2016</t>
  </si>
  <si>
    <t>Determina 684 del 30/11/2016</t>
  </si>
  <si>
    <t>Determina 708 del 06/12/2016</t>
  </si>
  <si>
    <t>Art. 125 Dlgs 163/2006 CIG: Z4B1C64310</t>
  </si>
  <si>
    <t>Edil Porta Romana di Rotilio Ercole &amp; C.sas</t>
  </si>
  <si>
    <t>IT01161520661</t>
  </si>
  <si>
    <t>Determina 736 del 15/12/2016</t>
  </si>
  <si>
    <t>Determina 748 del 19/12/2016</t>
  </si>
  <si>
    <t>Determina 749 del 19/12/2016</t>
  </si>
  <si>
    <t>Determina 750 del 19/12/2016</t>
  </si>
  <si>
    <t>Art. 36 comma 2 lettera a) Dlgs 50/2016 CIG Z241C0BE7B; oda 3301479</t>
  </si>
  <si>
    <t>Corporate express</t>
  </si>
  <si>
    <t>13303580156</t>
  </si>
  <si>
    <t>Determina 15 del 11/01/2017</t>
  </si>
  <si>
    <t>Determina 16 del 10/01/2017</t>
  </si>
  <si>
    <t>ex Art. 125 Dlgs 163/2006 CIG: Z9C1932407</t>
  </si>
  <si>
    <t>START S.N.C.</t>
  </si>
  <si>
    <t>Determina 17 del 11/01/2017</t>
  </si>
  <si>
    <t>Art. 36 comma 2 lettera a) Dlgs 50/2016 CIG: Z6C1512175</t>
  </si>
  <si>
    <t>Telecom “Telefonia Mobile 6”</t>
  </si>
  <si>
    <t>Determina 18 del 12/01/2017</t>
  </si>
  <si>
    <t>Art. 36 comma 2 lettera a) Dlgs 50/2016 CIG: ZAE1A9E3F6</t>
  </si>
  <si>
    <t>Telecom Italia S.p.A. (fissa)</t>
  </si>
  <si>
    <t>Determina 19 del 12/01/2017</t>
  </si>
  <si>
    <t>Determina 26 del 13/01/2017</t>
  </si>
  <si>
    <t>Determina 36 del 24/01/2017</t>
  </si>
  <si>
    <t>Determina 32 del 23/01/2017</t>
  </si>
  <si>
    <t>Determina 34 del 24/01/2017</t>
  </si>
  <si>
    <t>Art. 36 comma 2 lettera a) Dlgs 50/2016 CIG: ZBD1C1BE71 n. oda 3313097</t>
  </si>
  <si>
    <t>Determina 45 del 31/01/2017</t>
  </si>
  <si>
    <t>Art. 125 Dlgs 163/2006 CIG ZED100D080;</t>
  </si>
  <si>
    <t>Determina 46 del 31/01/2017</t>
  </si>
  <si>
    <t>Art. 36 comma 2 lettera a) Dlgs 50/2016 CIG Z2519B6B1A</t>
  </si>
  <si>
    <t>Determina 49 del 01/02/2017</t>
  </si>
  <si>
    <t>Società Olivetti SPA (fibra ottica)</t>
  </si>
  <si>
    <t>Determina 50 del 01/02/2017</t>
  </si>
  <si>
    <t>Determina 51 del 01/02/2017</t>
  </si>
  <si>
    <t>Art. 36 comma 2 lettera a) Dlgs 50/2016 CIG: Z7C1A0B21B</t>
  </si>
  <si>
    <t>Determina 53 del 02/02/2017</t>
  </si>
  <si>
    <t>Determina 54 del 02/02/2017</t>
  </si>
  <si>
    <t>Art. 125 Dlgs 163/2006 CIG: ZA013672D2;</t>
  </si>
  <si>
    <t>Determina 60 del 07/02/2017</t>
  </si>
  <si>
    <t>ex Art. 125 Dlgs 163/2006 CIG: Z7C157D6A6</t>
  </si>
  <si>
    <t>Soffarredo</t>
  </si>
  <si>
    <t>Determina 61 del 07/02/2017</t>
  </si>
  <si>
    <t>Determina 62 del 07/02/2017</t>
  </si>
  <si>
    <t>Determina 73 del 09/02/2017</t>
  </si>
  <si>
    <t>Detrmina 85 del 17/02/2017</t>
  </si>
  <si>
    <t>Detrmina 86 del 17/02/2017</t>
  </si>
  <si>
    <t>Detrmina 87 del 17/02/2017</t>
  </si>
  <si>
    <t>Convenzione Fossa</t>
  </si>
  <si>
    <t>Determina 108 del 23/02/2017</t>
  </si>
  <si>
    <t>Determina 109 del 23/02/2017</t>
  </si>
  <si>
    <t>Determina 110 del 23/02/2017</t>
  </si>
  <si>
    <t>Determina 111 del 24/02/2017</t>
  </si>
  <si>
    <t>Determina 125 del 24/02/2017</t>
  </si>
  <si>
    <t>Determina 127 del 03/03/2017</t>
  </si>
  <si>
    <t>Determina 152 del 15/03/2017</t>
  </si>
  <si>
    <t>Art. 36 comma 2 lettera a) Dlgs 50/2016 CIG: Z751B5F6B9</t>
  </si>
  <si>
    <t>Farmacia Simoncelli Sas</t>
  </si>
  <si>
    <t>01842650663</t>
  </si>
  <si>
    <t>Determina 157 del 15/03/2017</t>
  </si>
  <si>
    <t>Art. 36 comma 2 lettera a) Dlgs 50/2016 CIG ZBB1BF63E5</t>
  </si>
  <si>
    <t>Security Sistemi di Sicurezza di de Bernedictis G. &amp; C.</t>
  </si>
  <si>
    <t>01311910663</t>
  </si>
  <si>
    <t>Determina 167 del 17/03/2017</t>
  </si>
  <si>
    <t>Determina 181 del 23/03/2017</t>
  </si>
  <si>
    <t>Determina 182 del 23/03/2017</t>
  </si>
  <si>
    <t>Comune di Fossa_convenzione 2016</t>
  </si>
  <si>
    <t>Determina 191 del 24/03/2017</t>
  </si>
  <si>
    <t>ex Art. 125 Dlgs 163/2006 CIG: non obbligatorio D.Lgs. 163/2006 art. 25</t>
  </si>
  <si>
    <t>Gran Sasso Acqua S.p.A.</t>
  </si>
  <si>
    <t>00083520668</t>
  </si>
  <si>
    <t>Determina 222 del 04/04/2017</t>
  </si>
  <si>
    <t>Art. 36 comma 2 lettera a) Dlgs 50/2016 CIG Z271CBBF32</t>
  </si>
  <si>
    <t>Determina 215 del 03/04/2017</t>
  </si>
  <si>
    <t>usrc/utr</t>
  </si>
  <si>
    <t>Art. 36 comma 2 lettera a) Dlgs 50/2016 CIG:Z771D0DD18</t>
  </si>
  <si>
    <t>Ferramenta de Matteis - scarpe anti infortunistica</t>
  </si>
  <si>
    <t>01986240669</t>
  </si>
  <si>
    <t>Determina 223 del 04/04/2017</t>
  </si>
  <si>
    <t>Art. 36 comma 2 lettera a) Dlgs 50/2016 CIG: Z7B1D6B36D</t>
  </si>
  <si>
    <t>Determina 211 del 30/03/2017</t>
  </si>
  <si>
    <t>Art. 36 comma 2 lettera a) Dlgs 50/2016 CIG: ZBE1D6B1E0</t>
  </si>
  <si>
    <t>CAPRIOLI SOLUTION SRL</t>
  </si>
  <si>
    <t>10892451005</t>
  </si>
  <si>
    <t>Determina 212 del 30/03/2017</t>
  </si>
  <si>
    <t>equitalia (accertamento TIM_telefonia)</t>
  </si>
  <si>
    <t>Determina 193 del 28/03/2017</t>
  </si>
  <si>
    <t>Determina 194 del 28/03/2017</t>
  </si>
  <si>
    <t>Determina 195 del 28/03/2017</t>
  </si>
  <si>
    <t>Art. 36 comma 2 lettera a) Dlgs 50/2016 CIG: Z3F1D09813</t>
  </si>
  <si>
    <t>A. Di Paolo srl (carta A4)</t>
  </si>
  <si>
    <t>01805450689</t>
  </si>
  <si>
    <t>Determina 247 del 19/04/2017</t>
  </si>
  <si>
    <t>Determina 249 del 19/04/2017</t>
  </si>
  <si>
    <t>Determina 248 del 19/04/2017</t>
  </si>
  <si>
    <t>Determina 266 del 26/04/2017</t>
  </si>
  <si>
    <t>Determina 279 del 02/05/2017</t>
  </si>
  <si>
    <t>Determina 304 del 11/05/2017</t>
  </si>
  <si>
    <t>Determina 312 del 15/05/2017</t>
  </si>
  <si>
    <t>Determina 331 del 22/05/2017</t>
  </si>
  <si>
    <t>Determina 332 del 22/05/2017</t>
  </si>
  <si>
    <t>Determina 348 del 23/05/2017</t>
  </si>
  <si>
    <t>Determina 356 del 26/05/2017</t>
  </si>
  <si>
    <t>Art. 36 comma 2 lettera a) Dlgs 50/2016 CIG Convenzione Consip: 60664500E9 ; CIG noleggio USRC: ZZ0C1BAA6F3</t>
  </si>
  <si>
    <t>ALD automotive - preassegnazione</t>
  </si>
  <si>
    <t>01924961004</t>
  </si>
  <si>
    <t>Determina 374 del 07/06/2017</t>
  </si>
  <si>
    <t>Determina 372 del 06/06/2017</t>
  </si>
  <si>
    <t>Art. 36 comma 2 lettera a) Dlgs 50/2016 CIG: Z4D1DE24D3 n. oda 3574373</t>
  </si>
  <si>
    <t>Determina 373 del 06/06/2017</t>
  </si>
  <si>
    <t>Determina 382 del 08/06/2017</t>
  </si>
  <si>
    <t>Determina 383 del 08/06/2017</t>
  </si>
  <si>
    <t>Determina 403 del 13/06/2017</t>
  </si>
  <si>
    <t>Determina 406 del 20/06/2017</t>
  </si>
  <si>
    <t>Art. 36 comma 2 lettera a) Dlgs 50/2016 CIG: ZB91ECAE61</t>
  </si>
  <si>
    <t>Determina 407 del 20/06/2017</t>
  </si>
  <si>
    <t>Determina 413 del 21/06/2017</t>
  </si>
  <si>
    <t>Determina 414 del 22/06/2017</t>
  </si>
  <si>
    <t>Art. 36 comma 2 lettera a) Dlgs 50/2016 CIG Convenzione Consip: 60664500E9 ; CIG noleggio USRC: ZZ0C1BAA6F</t>
  </si>
  <si>
    <t>ALD automotive - noleggio</t>
  </si>
  <si>
    <t>01924961006</t>
  </si>
  <si>
    <t>Determina 424 del 28/06/2017</t>
  </si>
  <si>
    <t>Determina 438 del 30/06/2017</t>
  </si>
  <si>
    <t>Art. 36 comma 2 lettera a) Dlgs 50/2016 CIG ZAD1DDE675</t>
  </si>
  <si>
    <t>La Pitagora</t>
  </si>
  <si>
    <t>03382990400</t>
  </si>
  <si>
    <t>Determina 439 del 30/06/2017</t>
  </si>
  <si>
    <t>Determina 467 del 13/07/2017</t>
  </si>
  <si>
    <t>Determina 446 del 06/07/2017</t>
  </si>
  <si>
    <t>Determina 496 del 21/07/2017</t>
  </si>
  <si>
    <t>Determina 498 del 24/07/2017</t>
  </si>
  <si>
    <t>Art. 36 comma 2 lettera a) Dlgs 50/2016 CIG: Z3C1E69037</t>
  </si>
  <si>
    <t>Paper Ingross</t>
  </si>
  <si>
    <t>00531920783</t>
  </si>
  <si>
    <t>Determina 499 del 24/07/2017</t>
  </si>
  <si>
    <t>Determina 500 del 24/07/2017</t>
  </si>
  <si>
    <t>Determina 509 del 26/07/2017</t>
  </si>
  <si>
    <t>Determina 510 del 26/07/2017</t>
  </si>
  <si>
    <t>Art. 36 comma 2 lettera a) Dlgs 50/2016 CIG: ZAE1EA9BEC</t>
  </si>
  <si>
    <t>Determina 511 del 26/07/2017</t>
  </si>
  <si>
    <t>Art. 36 comma 2 lettera a) Dlgs 50/2016 CIG ZC51E47791</t>
  </si>
  <si>
    <t>Determina 522 del 01/08/2017</t>
  </si>
  <si>
    <t>Determina 527 del 02/08/2017</t>
  </si>
  <si>
    <t>Determina 528 del 02/08/2017</t>
  </si>
  <si>
    <t>Art. 125 Dlgs 163/2006 CIG: ZA21F44655</t>
  </si>
  <si>
    <t>Elmedia SPA - Il Centro online</t>
  </si>
  <si>
    <t>05703731009</t>
  </si>
  <si>
    <t>determina 529 del 02/08/2017</t>
  </si>
  <si>
    <t>Determina 551 del 29/08/2017</t>
  </si>
  <si>
    <t>Determina 552 del 29/08/2017</t>
  </si>
  <si>
    <t>Determina 553 del 29/08/2017</t>
  </si>
  <si>
    <t>Determina 554 del 29/08/2017</t>
  </si>
  <si>
    <t>Determina 555 del 29/08/2017</t>
  </si>
  <si>
    <t>Determina 556 del 29/08/2017</t>
  </si>
  <si>
    <t>Determina 557 del 29/08/2017</t>
  </si>
  <si>
    <t>Art. 36 comma 2 lettera a) Dlgs 50/2016 CIG: Z6E1ED45BF</t>
  </si>
  <si>
    <t>Determina 558 del 29/08/2017</t>
  </si>
  <si>
    <t>Determina 560 del 30/08/2017</t>
  </si>
  <si>
    <t>Determina 567 del 05/09/2017</t>
  </si>
  <si>
    <t>Art. 36 comma 2 lettera a) Dlgs 50/2016 CIG: Z971CC784C</t>
  </si>
  <si>
    <t>Determina 568 del 06/09/2017</t>
  </si>
  <si>
    <t>Determina 602 del 14/09/2017</t>
  </si>
  <si>
    <t>Art. 36 comma 2 lettera a) Dlgs 50/2016 CIG:Z821F9B4D6</t>
  </si>
  <si>
    <t>Securitas</t>
  </si>
  <si>
    <t>01635850660</t>
  </si>
  <si>
    <t>Determina 542 del 08/08/2017</t>
  </si>
  <si>
    <t>Determina 609 del 22/09/2017</t>
  </si>
  <si>
    <t>Determina 610 del 22/09/2017</t>
  </si>
  <si>
    <t>Art. 36 comma 2 lettera a) Dlgs 50/2016 CIG:Z0F1F9C000</t>
  </si>
  <si>
    <t>Ferramenta de Matteis - chiavi stabile</t>
  </si>
  <si>
    <t>Determina 611 del 22/09/2017</t>
  </si>
  <si>
    <t>Determina 612 del 25/09/2017</t>
  </si>
  <si>
    <t>Determina 613 del 25/09/2017</t>
  </si>
  <si>
    <t>Determina 614 del 25/09/2017</t>
  </si>
  <si>
    <t>Determina 646 del 04/10/2017</t>
  </si>
  <si>
    <t>Determina 651 del 04/10/2017</t>
  </si>
  <si>
    <t>Determina 653 del 05/10/2017</t>
  </si>
  <si>
    <t>Art. 36 comma 2 lettera a) Dlgs 50/2016 CIG: Z231F98C86 n. oda 3802906</t>
  </si>
  <si>
    <t>Determina 654 del 05/10/2017</t>
  </si>
  <si>
    <t>Determina 655 del 05/10/2017</t>
  </si>
  <si>
    <t>Determina 678 del 16/10/2017</t>
  </si>
  <si>
    <t>Determina 677 del 16/10/2017</t>
  </si>
  <si>
    <t>Art. 125 Dlgs 163/2006 CIG ZED100D080</t>
  </si>
  <si>
    <t>Determina 676 del 16/10/2017</t>
  </si>
  <si>
    <t>Art. 36 comma 2 lettera a) Dlgs 50/2016 CIG Z46115F3CC</t>
  </si>
  <si>
    <t>Determina 687 del 25/10/2017</t>
  </si>
  <si>
    <t>Determina 697 del 26/10/2017</t>
  </si>
  <si>
    <t>Determina 712 del 07/11/2017</t>
  </si>
  <si>
    <t>Determina 713 del 07/11/2017</t>
  </si>
  <si>
    <t>Determina 714 del 07/11/2017</t>
  </si>
  <si>
    <t>Art. 125 Dlgs 163/2006 CIG: ZB71F9B36F</t>
  </si>
  <si>
    <t>Determina 716 del 08/11/2017</t>
  </si>
  <si>
    <t>Determina 717 del 08/11/2017</t>
  </si>
  <si>
    <t>Determina 718 del 09/11/2017</t>
  </si>
  <si>
    <t>Art. 125 Dlgs 163/2006 CIG ZE01F19616</t>
  </si>
  <si>
    <t>Mister Wolf srl</t>
  </si>
  <si>
    <t>01703240661</t>
  </si>
  <si>
    <t>Determina 735 del 14/11/2017</t>
  </si>
  <si>
    <t>Convenzione Consip CIG: Z291E2267F</t>
  </si>
  <si>
    <t>Exitone Spa (sorveglianza sanitaria lavoratori)</t>
  </si>
  <si>
    <t>07874490019</t>
  </si>
  <si>
    <t>determina 736 del 14/11/2017</t>
  </si>
  <si>
    <t>ex Art. 125 Dlgs 163/2006 CIG: Z1D1D741C0</t>
  </si>
  <si>
    <t>determina 759 del 24/11/2017</t>
  </si>
  <si>
    <t>TINN</t>
  </si>
  <si>
    <t>determina 760 del 24/11/2017</t>
  </si>
  <si>
    <t>Determina 763 del 30/11/2017</t>
  </si>
  <si>
    <t>Determina 764 del 30/11/2017</t>
  </si>
  <si>
    <t>Determina 765 del 30/11/2017</t>
  </si>
  <si>
    <t>Determina 766 del 30/11/2017</t>
  </si>
  <si>
    <t>Determina 767 del 30/11/2017</t>
  </si>
  <si>
    <t>Determina 768 del 30/11/2017</t>
  </si>
  <si>
    <t>Determina 771 del 04/12/2017</t>
  </si>
  <si>
    <t>Determina 772 del 04/12/2017</t>
  </si>
  <si>
    <t>Determina 811 del 04/12/2017</t>
  </si>
  <si>
    <t>Determina 839 del 19/12/2017</t>
  </si>
  <si>
    <t>Art. 125 Dlgs 163/2006 CIG: Z5B2057FF9</t>
  </si>
  <si>
    <t>C.A edilizia e termoidraulica</t>
  </si>
  <si>
    <t>01597300662</t>
  </si>
  <si>
    <t>Determina 840 del 19/12/2017</t>
  </si>
  <si>
    <t>Determina 841 del 19/12/2017</t>
  </si>
  <si>
    <t>Determina 842 del 19/12/2017</t>
  </si>
  <si>
    <t>Determina 843 del 19/12/2017</t>
  </si>
  <si>
    <t>Determina 844 del 19/12/2017</t>
  </si>
  <si>
    <t>Determina 846 del 19/12/2017</t>
  </si>
  <si>
    <t>Trattativa diretta Consip CIG: Z391E2B50E</t>
  </si>
  <si>
    <t>Erinet Sas</t>
  </si>
  <si>
    <t>determina 847 del 19/12/2017</t>
  </si>
  <si>
    <t>determina 848 del 19/12/2017</t>
  </si>
  <si>
    <t>Art. 36 comma 2 lettera a) Dlgs 50/2016 CIG: Z2720A379F</t>
  </si>
  <si>
    <t>Ferella cartoleria</t>
  </si>
  <si>
    <t>01530740669</t>
  </si>
  <si>
    <t>Determina 19 del 16/01/2018</t>
  </si>
  <si>
    <t>Determina 20 del 16/01/2018</t>
  </si>
  <si>
    <t>Determina 21 del 16/01/2018</t>
  </si>
  <si>
    <t>Art. 36 comma 2 lettera a) Dlgs 50/2016 CIG: ZB620A73BC n. oda 3950654</t>
  </si>
  <si>
    <t>Determina 22 del 16/01/2018</t>
  </si>
  <si>
    <t>Art. 36 comma 2 lettera a) Dlgs 50/2016 CIG ZEE1FF4527</t>
  </si>
  <si>
    <t>Determina 23 del 16/01/2018</t>
  </si>
  <si>
    <t>Determina 27 del 19/01/2018</t>
  </si>
  <si>
    <t>Determina 28 del 19/01/2018</t>
  </si>
  <si>
    <t>Determina 29 del 19/01/2018</t>
  </si>
  <si>
    <t>Determina 30 del 19/01/2018</t>
  </si>
  <si>
    <t>Determina 76 del 08/02/2018</t>
  </si>
  <si>
    <t>Determina 109 del 19/02/2018</t>
  </si>
  <si>
    <t>Determina 121 del 21/02/2018</t>
  </si>
  <si>
    <t>Determina 122 del 21/02/2018</t>
  </si>
  <si>
    <t>CF 97584460584</t>
  </si>
  <si>
    <t>Determina 123 del 21/02/2018</t>
  </si>
  <si>
    <t>Determina 147 del 05/03/2018</t>
  </si>
  <si>
    <t>Determina 148 del 05/03/2018</t>
  </si>
  <si>
    <t>Determina 149 del 05/03/2018</t>
  </si>
  <si>
    <t>TELECENTRAL - VIGILANZA GROUP</t>
  </si>
  <si>
    <t>Determina 150 del 05/03/2018</t>
  </si>
  <si>
    <t>Determina 151 del 05/03/2018</t>
  </si>
  <si>
    <t>Determina 156 del 05/03/2018</t>
  </si>
  <si>
    <t>Determina 167 del 14/03/2018</t>
  </si>
  <si>
    <t>Art. 36 comma 2 lettera a) Dlgs 50/2016 CIG: Z4F2202BAA</t>
  </si>
  <si>
    <t>Ideabandiere S.n.c.</t>
  </si>
  <si>
    <t>5553870659,00</t>
  </si>
  <si>
    <t>Determina 168 del 14/03/2018</t>
  </si>
  <si>
    <t>Determina 186 del 20/03/2018</t>
  </si>
  <si>
    <t>Determina 187 del 20/03/2018</t>
  </si>
  <si>
    <t>Determina 204 del 28/03/2018</t>
  </si>
  <si>
    <t>Determina 205 del 28/03/2018</t>
  </si>
  <si>
    <t>Determina 206 del 28/03/2018</t>
  </si>
  <si>
    <t>Determina 211 del 04/04/2018</t>
  </si>
  <si>
    <t>Determina 212 del 05/04/2018</t>
  </si>
  <si>
    <t>Art. 36 comma 2 lettera a) Dlgs 50/2016 CIG: Z7722D0B04</t>
  </si>
  <si>
    <t>Determina 232 del 13/04/2018</t>
  </si>
  <si>
    <t>Determina 233 del 13/04/2018</t>
  </si>
  <si>
    <t>Determina 234 del 13/04/2018</t>
  </si>
  <si>
    <t>Determina 256 del 30/04/2018</t>
  </si>
  <si>
    <t>Determina 257 del 30/04/2018</t>
  </si>
  <si>
    <t>Determina 258 del 30/04/2018</t>
  </si>
  <si>
    <t>Determina 259 del 30/04/2018</t>
  </si>
  <si>
    <t>Determina 260 del 30/04/2018</t>
  </si>
  <si>
    <t>Determina 285 del 07/05/2018</t>
  </si>
  <si>
    <t>Determina 286 del 07/05/2018</t>
  </si>
  <si>
    <t>Determina 287 del 07/05/2018</t>
  </si>
  <si>
    <t>Determina 275 del 03/05/2018</t>
  </si>
  <si>
    <t>Determina 276 del 03/05/2018</t>
  </si>
  <si>
    <t>Determina 279 del 03/05/2018</t>
  </si>
  <si>
    <t>Determina 318 del 10/05/2018</t>
  </si>
  <si>
    <t>Art. 36 comma 2 lettera a) Dlgs 50/2016 CIG Z59242E06D</t>
  </si>
  <si>
    <t>Determina 414 del 23/07/2018</t>
  </si>
  <si>
    <t>Determina 415 del 23/07/2018</t>
  </si>
  <si>
    <t>Art. 125 Dlgs 163/2006 CIG: Z0A21AD005</t>
  </si>
  <si>
    <t>Determina 416 del 23/07/2018</t>
  </si>
  <si>
    <t>Art. 36 comma 2 lettera a) Dlgs 50/2016 CIG: ZAF2295940 n. oda 4183514</t>
  </si>
  <si>
    <t>Determina 417 del 23/07/2018</t>
  </si>
  <si>
    <t>Determina 421 del 25/07/2018</t>
  </si>
  <si>
    <t>Determina 422 del 25/07/2018</t>
  </si>
  <si>
    <t>Società Olivetti SPA (fibra voip)</t>
  </si>
  <si>
    <t>Determina 423 del 25/07/218</t>
  </si>
  <si>
    <t>Art. 36 comma 2 lettera a) Dlgs 50/2016 CIG: ZA622F4D6A</t>
  </si>
  <si>
    <t>FINBUC S.R.L.</t>
  </si>
  <si>
    <t>08573761007</t>
  </si>
  <si>
    <t>Determina 432 del 27/07/2018</t>
  </si>
  <si>
    <t>ex Art. 125 Dlgs 163/2006 CIG: Z2822F0341</t>
  </si>
  <si>
    <t>Determina 433 del 27/07/2018</t>
  </si>
  <si>
    <t>Art. 36 comma 2 lettera a) Dlgs 50/2016 CIG: Z77234638E n. oda 4272820</t>
  </si>
  <si>
    <t>CASA EDITRICE SCOLASTICA LOMBARDI (materiale igienico)</t>
  </si>
  <si>
    <t>00917731002</t>
  </si>
  <si>
    <t>Determina 434 del 27/07/2018</t>
  </si>
  <si>
    <t>Art. 36 comma 2 lettera a) Dlgs 50/2016 CIG: Z12242DFEB</t>
  </si>
  <si>
    <t>Determina 449 del 06/08/2018</t>
  </si>
  <si>
    <t>Determina 450 del 06/08/2018</t>
  </si>
  <si>
    <t>Determina 451 del 06/08/2018</t>
  </si>
  <si>
    <t>Determina 452 del 06/08/2018</t>
  </si>
  <si>
    <t>Art. 125 Dlgs 163/2006 CIG ZED100D080 e ZC722FDE98</t>
  </si>
  <si>
    <t>Determina 453 del 06/08/2018</t>
  </si>
  <si>
    <t>Determina 541 del 20/09/2018</t>
  </si>
  <si>
    <t>Determina 542 del 20/09/2018</t>
  </si>
  <si>
    <t>Determina 543 del 20/09/2018</t>
  </si>
  <si>
    <t>Determina 544 del 20/09/2018</t>
  </si>
  <si>
    <t>Art. 125 Dlgs 163/2006 CIG ZC722FDE98</t>
  </si>
  <si>
    <t>Determina 550 del 25/09/2018</t>
  </si>
  <si>
    <t>Determina 551 del 25/09/2018</t>
  </si>
  <si>
    <t>relazioni istituzionali - Manuela Visca</t>
  </si>
  <si>
    <t>Determina 553 del 25/09/2018</t>
  </si>
  <si>
    <t>Determina 593 del 11/10/2018</t>
  </si>
  <si>
    <t>Determina 594 del 11/10/2018</t>
  </si>
  <si>
    <t>Determina 595 del 11/10/2018</t>
  </si>
  <si>
    <t>Determina 10 del 14/01/2019</t>
  </si>
  <si>
    <t>Art. 125 Dlgs 163/2006 CIG Z1F249BC80;</t>
  </si>
  <si>
    <t>C2 srl</t>
  </si>
  <si>
    <t>Determina 41 del 16/01/2019</t>
  </si>
  <si>
    <t>Art. 36 comma 2 lettera a) Dlgs 50/2016 CIG: ZAE24B4403</t>
  </si>
  <si>
    <t>NUART</t>
  </si>
  <si>
    <t>01927650661</t>
  </si>
  <si>
    <t>Determina 42 del 16/01/2019</t>
  </si>
  <si>
    <t>Art. 36 comma 2 lettera a) Dlgs 50/2016 CIG: Z6324931F4</t>
  </si>
  <si>
    <t>Determina 43 del 16/01/2019</t>
  </si>
  <si>
    <t>Determina 44 del 16/01/2019</t>
  </si>
  <si>
    <t>Determina 45 del 16/01/2019</t>
  </si>
  <si>
    <t>Determina 55 del 21/01/2019</t>
  </si>
  <si>
    <t>Determina 56 del 21/01/2019</t>
  </si>
  <si>
    <t>Determina 70 del 22/01/2019</t>
  </si>
  <si>
    <t>Determina 82 del 28/01/2019</t>
  </si>
  <si>
    <t>Determina 83 del 28/01/2019</t>
  </si>
  <si>
    <t>Determina 84 del 28/01/2019</t>
  </si>
  <si>
    <t>Determina 96 del 01/02/2019</t>
  </si>
  <si>
    <t>Determina 97 del 01/02/2019</t>
  </si>
  <si>
    <t>Determina 101 del 06/02/2019</t>
  </si>
  <si>
    <t>Determina 102 del 06/02/2019</t>
  </si>
  <si>
    <t>Determina 107 del 07/02/2019</t>
  </si>
  <si>
    <t>Determina 125 del 19/02/2019</t>
  </si>
  <si>
    <t>Determina 126 del 19/02/2019</t>
  </si>
  <si>
    <t>Determina 127 del 19/02/2019</t>
  </si>
  <si>
    <t>Determina 149 del 26/02/2019</t>
  </si>
  <si>
    <t>Determina 170 del 08/03/2019</t>
  </si>
  <si>
    <t>Determina 171 del 08/03/2019</t>
  </si>
  <si>
    <t>Determina 196 del 22/03/2019</t>
  </si>
  <si>
    <t>Determina 197 del 22/03/2019</t>
  </si>
  <si>
    <t>Determina 198 del 22/03/2019</t>
  </si>
  <si>
    <t>Determina 210 del 29/03/2019</t>
  </si>
  <si>
    <t>Art. 125 Dlgs 163/2006 CIG: Z0D26D29E3</t>
  </si>
  <si>
    <t>Determina 211 del 29/03/2019</t>
  </si>
  <si>
    <t>ex Art. 125 Dlgs 163/2006 CIG: ZAC2104069</t>
  </si>
  <si>
    <t>Determina 217 del 01/04/2019</t>
  </si>
  <si>
    <t>Art. 125 Dlgs 163/2006 CIG: ZA425404A1</t>
  </si>
  <si>
    <t>S.i.m.i.c. srl</t>
  </si>
  <si>
    <t>00071080667</t>
  </si>
  <si>
    <t>Determina 232 del 11/04/2019</t>
  </si>
  <si>
    <t>Art. 36 comma 2 lettera a) Dlgs 50/2016 CIG: Z212712DE8</t>
  </si>
  <si>
    <t>Determina 233 del 11/04/2019</t>
  </si>
  <si>
    <t>Determina 234 del 11/04/2019</t>
  </si>
  <si>
    <t>Determina 244 del 11/04/2019</t>
  </si>
  <si>
    <t>Determina 245 del 11/04/2019</t>
  </si>
  <si>
    <t>Determina 260 del 18/04/2019</t>
  </si>
  <si>
    <t>Determina 261 del 18/04/2019</t>
  </si>
  <si>
    <t>Art. 36 comma 2 lettera a) Dlgs 50/2016 CIG: ZD626D2928</t>
  </si>
  <si>
    <t>Determina 277 del 06/05/2019</t>
  </si>
  <si>
    <t>Determina 278 del 06/05/2019</t>
  </si>
  <si>
    <t>Art. 125 Dlgs 163/2006 CIG: ZA72746266</t>
  </si>
  <si>
    <t>SINTESI SAS</t>
  </si>
  <si>
    <t>01350400667</t>
  </si>
  <si>
    <t>Determina 279 del 06/05/2019</t>
  </si>
  <si>
    <t>Determina 280 del 06/05/2019</t>
  </si>
  <si>
    <t>Determina 281 del 06/05/2019</t>
  </si>
  <si>
    <t>ex Art. 125 Dlgs 163/2006 CIG: Z9226CC769</t>
  </si>
  <si>
    <t>Determina 296 del 16/05/2019</t>
  </si>
  <si>
    <t>ex Art. 125 Dlgs 163/2006 CIG: ZC626EAD08</t>
  </si>
  <si>
    <t>MPL OFFICE DI ARIOLDI PASQUALINO</t>
  </si>
  <si>
    <t>03486760790</t>
  </si>
  <si>
    <t>Determina 297 del 16/05/2019</t>
  </si>
  <si>
    <t>Determina 310 del 22/05/2019</t>
  </si>
  <si>
    <t>Art. 36 comma 2 lettera a) Dlgs 50/2016 CIG: ZFA27956F2</t>
  </si>
  <si>
    <t>Determina 311 del 22/05/2019</t>
  </si>
  <si>
    <t>Art. 36 comma 2 lettera a) Dlgs 50/2016 CIG:Z62276C739</t>
  </si>
  <si>
    <t>Determina 312 del 22/05/2019</t>
  </si>
  <si>
    <t>Determina 313 del 22/05/2019</t>
  </si>
  <si>
    <t>Art. 36 comma 2 lettera a) Dlgs 50/2016 CIG: Z9A277B2EC</t>
  </si>
  <si>
    <t>STUDIO DI INFORMATICA SNC</t>
  </si>
  <si>
    <t>1193630520</t>
  </si>
  <si>
    <t>Determina 314 del 22/05/2019</t>
  </si>
  <si>
    <t>Determina 349 del 03/06/2019</t>
  </si>
  <si>
    <t>Determina 350 del 03/06/2019</t>
  </si>
  <si>
    <t>Art. 125 Dlgs 163/2006 CIG: ZDE26D295A</t>
  </si>
  <si>
    <t>Determina 351 del 03/06/2019</t>
  </si>
  <si>
    <t>Determina 352 del 03/06/2019</t>
  </si>
  <si>
    <t>Agenzia delle entrate - Telecom “Telefonia Mobile 6”</t>
  </si>
  <si>
    <t>Determina 363 del 11/06/2019</t>
  </si>
  <si>
    <t>Determina 373 del 14/06/2019</t>
  </si>
  <si>
    <t>Determina 374 del 14/06/2019</t>
  </si>
  <si>
    <t>ex Art. 125 Dlgs 163/2006 CIG: ZAA2857A0F</t>
  </si>
  <si>
    <t>Mondoffice Srl</t>
  </si>
  <si>
    <t>07491520156</t>
  </si>
  <si>
    <t>Determina 375 del 14/06/2019</t>
  </si>
  <si>
    <t>Determina 419 del 02/07/2019</t>
  </si>
  <si>
    <t>Determina 420 del 02/07/2019</t>
  </si>
  <si>
    <t>ex Art. 125 Dlgs 163/2006 CIG: ZD7273BDDF</t>
  </si>
  <si>
    <t>Determina 421 del 02/07/2019</t>
  </si>
  <si>
    <t>Determina 422 del 02/07/2019</t>
  </si>
  <si>
    <t>Determina 423 del 02/07/2019</t>
  </si>
  <si>
    <t>Determina 424 del 02/07/2019</t>
  </si>
  <si>
    <t>Determina 425 del 02/07/2019</t>
  </si>
  <si>
    <t>Art. 125 Dlgs 163/2006 CIG: ZEB285DEEB</t>
  </si>
  <si>
    <t>F.M.C. GROUP S.R.L.</t>
  </si>
  <si>
    <t>06365451217</t>
  </si>
  <si>
    <t>Determina 439 del 16/07/2019</t>
  </si>
  <si>
    <t>Determina 440 del 16/07/2019</t>
  </si>
  <si>
    <t>Art. 36 comma 2 lettera a) Dlgs 50/2016 CIG: ZF428A8E7F</t>
  </si>
  <si>
    <t>Determina 459 del 29/07/2019</t>
  </si>
  <si>
    <t>Determina 461 del 29/07/2019</t>
  </si>
  <si>
    <t>Art. 125 Dlgs 163/2006 CIG: Z732723B16</t>
  </si>
  <si>
    <t>Determina 462 del 29/07/2019</t>
  </si>
  <si>
    <t>ex Art. 125 Dlgs 163/2006 CIG: Z8D27DD31C</t>
  </si>
  <si>
    <t>CENTRUFFICO s.r.l.</t>
  </si>
  <si>
    <t>P. Iva n. 00830890679</t>
  </si>
  <si>
    <t>Determina 493 del 07/08/2019</t>
  </si>
  <si>
    <t>Determina 494 del 07/08/2019</t>
  </si>
  <si>
    <t>Determina 495 del 07/08/2019</t>
  </si>
  <si>
    <t>Determina 496 del 07/08/2019</t>
  </si>
  <si>
    <t>Art. 36 comma 2 lettera a) Dlgs 50/2016CIG: ZCC2910974</t>
  </si>
  <si>
    <t>Determina 511 del 30/07/2019</t>
  </si>
  <si>
    <t>Art. 36 comma 2 lettera a) Dlgs 50/2016CIG: Z5F2910E64</t>
  </si>
  <si>
    <t>INTERSYSTEM SRL</t>
  </si>
  <si>
    <t>00865531008</t>
  </si>
  <si>
    <t>Determina 512 del 30/07/2019</t>
  </si>
  <si>
    <t>Art. 36 comma 2 lettera a) Dlgs 50/2016CIG: Z32293255D</t>
  </si>
  <si>
    <t>PLANET COMPUTER SUPERSTORE</t>
  </si>
  <si>
    <t>01411640665</t>
  </si>
  <si>
    <t>Determina 513 del 30/07/2019</t>
  </si>
  <si>
    <t>Determina 514 del 30/07/2019</t>
  </si>
  <si>
    <t>Determina 544 del 18/09/2019</t>
  </si>
  <si>
    <t>Art. 36 comma 2 lettera a) Dlgs 50/2016 CIG: ZZ0C1BAA6F</t>
  </si>
  <si>
    <t>Determina 545 del 18/09/2019</t>
  </si>
  <si>
    <t>Exitone Spa (RSSP)</t>
  </si>
  <si>
    <t>Determina 560 del 24/09/2019</t>
  </si>
  <si>
    <t>Determina 561 del 24/09/2019</t>
  </si>
  <si>
    <t>Art. 125 Dlgs 163/2006CIG: ZDE26D295A</t>
  </si>
  <si>
    <t>Determina 562 del 24/09/2019</t>
  </si>
  <si>
    <t>Exitone Spa (RSSP) - GI ONE S.p.A.</t>
  </si>
  <si>
    <t>Determina 588 del 07/10/2019</t>
  </si>
  <si>
    <t>Exitone Spa (sorveglianza sanitaria lavoratori) - GI ONE S.p.A.</t>
  </si>
  <si>
    <t>Determina 589 del 07/10/2019</t>
  </si>
  <si>
    <t>Determina 590 del 07/10/2019</t>
  </si>
  <si>
    <t>Determina 591 del 07/10/2019</t>
  </si>
  <si>
    <t>Determina 626 del 21/10/2019</t>
  </si>
  <si>
    <t>Determina 627 del 21/10/2019</t>
  </si>
  <si>
    <t xml:space="preserve">Art.54 Dlgs 50/2016 CIG: 6842340D94
</t>
  </si>
  <si>
    <t>Ranstad Italia S.p.a.</t>
  </si>
  <si>
    <t>10538750968</t>
  </si>
  <si>
    <t>Determina 639 del 25/10/2019</t>
  </si>
  <si>
    <t>Determina 662 del 08/11/2019</t>
  </si>
  <si>
    <t>Art. 36 comma 2 lettera a) Dlgs 50/2016 CIG: Z4D29BE23A</t>
  </si>
  <si>
    <t>Determina 663 del 08/11/2019</t>
  </si>
  <si>
    <t>Determina 664 del 08/11/2019</t>
  </si>
  <si>
    <t>Determina 665 del 08/11/2019</t>
  </si>
  <si>
    <t>ex Art. 125 Dlgs 163/2006 CIG: non obbligatorio D.Lgs.163/2006 art. 25</t>
  </si>
  <si>
    <t>Determina 682 del 20/11/2019</t>
  </si>
  <si>
    <t>Procedura ad evidenza pubblica- Avviso per selezione comparativa - Incarico ex art. 7, commi 6 e 6 bis d.lgs. 165/2001</t>
  </si>
  <si>
    <t xml:space="preserve">MANUELA VISCA </t>
  </si>
  <si>
    <t>VSCMNL77S45A345X</t>
  </si>
  <si>
    <t>Determina 678 del 12/11/2019</t>
  </si>
  <si>
    <t>Art. 36 comma 2 lettera a) Dlgs 50/2016CIG: ZCA299FF36</t>
  </si>
  <si>
    <t>ARCADIA TECNOLOGIE S.R.L.</t>
  </si>
  <si>
    <t>07161270967</t>
  </si>
  <si>
    <t>Determina 683 del 20/11/2019</t>
  </si>
  <si>
    <t>Determina 684 del 20/11/2019</t>
  </si>
  <si>
    <t>Determina 699 del 21/11/2019</t>
  </si>
  <si>
    <t>Determina 728 del 02/12/2019</t>
  </si>
  <si>
    <t>Determina 729 del 02/12/2019</t>
  </si>
  <si>
    <t>Determina 730 del 02/12/2019</t>
  </si>
  <si>
    <t>Art. 36 comma 2 lettera a) Dlgs 50/2016 CIG: Z61277202D</t>
  </si>
  <si>
    <t>Telecom “Telefonia Mobile 7”</t>
  </si>
  <si>
    <t>Determina 731 del 02/12/2019</t>
  </si>
  <si>
    <t>Determina 732 del 02/12/2019</t>
  </si>
  <si>
    <t>Avv. Francesco Angelini</t>
  </si>
  <si>
    <t>NGLFNC75D24H501N</t>
  </si>
  <si>
    <t>Determina 780 del 13/12/2019</t>
  </si>
  <si>
    <t>Determina 786 del 16/11/2019</t>
  </si>
  <si>
    <t>Simona D'Olimpo</t>
  </si>
  <si>
    <t>DLMSMN83M70A345B</t>
  </si>
  <si>
    <t>Determina 801 del 18/11/2019</t>
  </si>
  <si>
    <t>Mirka Felicioni</t>
  </si>
  <si>
    <t>FLCMRK83T71G878X</t>
  </si>
  <si>
    <t>Determina 804 del 19/11/2019</t>
  </si>
  <si>
    <t>Paola Iacobucci</t>
  </si>
  <si>
    <t>CBCPLA77P65G878X</t>
  </si>
  <si>
    <t>Determina 806 del 19/11/2019</t>
  </si>
  <si>
    <t>PAOLO BENEDETTI</t>
  </si>
  <si>
    <t>BNDPLA83A19A345E</t>
  </si>
  <si>
    <t>Determina 808 del 20/11/2019</t>
  </si>
  <si>
    <t>ANTONIO MASTROGIUSEPPE</t>
  </si>
  <si>
    <t>MSTNTN75M21I804M</t>
  </si>
  <si>
    <t>Determina 809 del 20/11/2019</t>
  </si>
  <si>
    <t>MARCO RACITI</t>
  </si>
  <si>
    <t>RCTMRC72D15G482K</t>
  </si>
  <si>
    <t>Determina 810 del 20/11/2019</t>
  </si>
  <si>
    <t>Determina 7 del 08/01/2020</t>
  </si>
  <si>
    <t>Art. 36 comma 2 lettera a) Dlgs 50/2016 CIG: ZC62A65534</t>
  </si>
  <si>
    <t>MUSICAVIVA S.A.S.</t>
  </si>
  <si>
    <t>01807950660</t>
  </si>
  <si>
    <t>Determina 8 del 08/01/2020</t>
  </si>
  <si>
    <t>determina 28 17/01/2020</t>
  </si>
  <si>
    <t>determina 29 17/01/2020</t>
  </si>
  <si>
    <t>determina 30 20/01/2020</t>
  </si>
  <si>
    <t>Art. 36 comma 2 lettera a) Dlgs 50/2016 CIG: Z8729414F5</t>
  </si>
  <si>
    <t>CI.ELLE PUBBLICITA’ s.r.l.</t>
  </si>
  <si>
    <t>01969270667</t>
  </si>
  <si>
    <t>determina 31 20/01/2020</t>
  </si>
  <si>
    <t>Art. 36 comma 2 lettera a) Dlgs 50/2016 CIG: ZF42A2204D</t>
  </si>
  <si>
    <t>determina 32 20/01/2020</t>
  </si>
  <si>
    <t>determina 33 20/01/2020</t>
  </si>
  <si>
    <t>determina 34 22/01/2020</t>
  </si>
  <si>
    <t>determina 35 22/01/2020</t>
  </si>
  <si>
    <t>Art. 36 comma 2 lettera a) Dlgs 50/2016 CIG: Z0329C4004</t>
  </si>
  <si>
    <t>LA NOVA TRASLOCHI</t>
  </si>
  <si>
    <t>02048340661</t>
  </si>
  <si>
    <t>determina 36 22/01/2020</t>
  </si>
  <si>
    <t>11940290015</t>
  </si>
  <si>
    <t>determina 59 05/020/2020</t>
  </si>
  <si>
    <t>determina 60 05/02/2020</t>
  </si>
  <si>
    <t>Art. 36 comma 2 lettera a) Dlgs 50/2016 CIG: Z532A4CF5B</t>
  </si>
  <si>
    <t>determina 61 05/02/2020</t>
  </si>
  <si>
    <t>determina 62 05/02/2020</t>
  </si>
  <si>
    <t>INAIL</t>
  </si>
  <si>
    <t>19290564</t>
  </si>
  <si>
    <t>determina 87 14/02/2020</t>
  </si>
  <si>
    <t>determina 95 19/02/2020</t>
  </si>
  <si>
    <t>Art. 36 comma 2 lettera a) Dlgs 50/2016 CIG: Z2B2A9AC8E</t>
  </si>
  <si>
    <t>LINEA DATA</t>
  </si>
  <si>
    <t>determina 96 19/02/2020</t>
  </si>
  <si>
    <t>Art. 36 comma 2 lettera a) Dlgs 50/2016 CIG: Z5E2A2AB4C</t>
  </si>
  <si>
    <t>LA CASALINDA</t>
  </si>
  <si>
    <t>P00667690044</t>
  </si>
  <si>
    <t>determina 97 19/02/2020</t>
  </si>
  <si>
    <t>determina 98 19/02/2020</t>
  </si>
  <si>
    <t>Determina 147 del 09/03/2020</t>
  </si>
  <si>
    <t>Art. 36 comma 2 lettera a) Dlgs 50/2016 CIG: Z5F29C2EA7</t>
  </si>
  <si>
    <t>Determina 148 del 09/03/2020</t>
  </si>
  <si>
    <t>Determina 149 del 09/03/2020</t>
  </si>
  <si>
    <t>Determina 150 del 09/03/2020</t>
  </si>
  <si>
    <t>Determina 151 del 09/03/2020</t>
  </si>
  <si>
    <t>Determina 180 del 16/03/2020</t>
  </si>
  <si>
    <t>Determina 181 del 16/03/2020</t>
  </si>
  <si>
    <t>Art. 125 Dlgs 163/2006 CIG: Z332B73F88</t>
  </si>
  <si>
    <t>Determina 182 del 16/03/2020</t>
  </si>
  <si>
    <t>Art. 125 Dlgs 163/2006 CIG: Z1A2B866C7</t>
  </si>
  <si>
    <t>Melchiorre di Andrea Melchiorre &amp; C. snc</t>
  </si>
  <si>
    <t>01413690668</t>
  </si>
  <si>
    <t>Determina 183 del 16/03/2020</t>
  </si>
  <si>
    <t>Determina 184 del 16/03/2020</t>
  </si>
  <si>
    <t>Art. 36 comma 2 lettera a) Dlgs 50/2016 CIG Z571FBF296</t>
  </si>
  <si>
    <t>Determina 185 del 16/03/2020</t>
  </si>
  <si>
    <t>Art. 125 Dlgs 163/2006 CIG:</t>
  </si>
  <si>
    <t>Determina 206 del 27/03/2020</t>
  </si>
  <si>
    <t>Art. 36 comma 2 lettera a) Dlgs 50/2016 CIG: Z882810F3D</t>
  </si>
  <si>
    <t>Vodafone</t>
  </si>
  <si>
    <t>08539010010</t>
  </si>
  <si>
    <t>Determina 207 del 27/03/2020</t>
  </si>
  <si>
    <t>Determina 208 del 27/03/2020</t>
  </si>
  <si>
    <t>Art. 36 comma 2 lettera a) Dlgs 50/2016 CIG: Z2F2836DB1</t>
  </si>
  <si>
    <t>Determina 209 del 27/03/2020</t>
  </si>
  <si>
    <t>Determina 210 del 27/03/2020</t>
  </si>
  <si>
    <t>Determina 211 del 27/03/2020</t>
  </si>
  <si>
    <t>Art. 36 comma 2 lettera a) Dlgs 50/2016 CIG: Z9F29EF70E</t>
  </si>
  <si>
    <t>Assigeco S.r.l. - LLOYD'S INSURANCE COMPANY S.A.</t>
  </si>
  <si>
    <t>08958920152</t>
  </si>
  <si>
    <t>Determina 247 del 10/04/2020</t>
  </si>
  <si>
    <t>Art. 36 comma 2 lettera a) Dlgs 50/2016 CIG Convenzione Consip: ; noleggio USRC: CIG Z7D2C41A52</t>
  </si>
  <si>
    <t>IDROTEC di Ianni Emilio</t>
  </si>
  <si>
    <t>01629600667</t>
  </si>
  <si>
    <t>Determina 252 del 14/04/2020</t>
  </si>
  <si>
    <t>Art. 36 comma 2 lettera a) Dlgs 50/2016 CIG Convenzione Consip: ; noleggio USRC: CIG Z592C5FADA</t>
  </si>
  <si>
    <t>Determina 253 del 14/04/2020</t>
  </si>
  <si>
    <t>Determina 268 del 17/04/2020</t>
  </si>
  <si>
    <t>Determina 269 del 17/04/2020</t>
  </si>
  <si>
    <t>Determina 270 del 17/04/2020</t>
  </si>
  <si>
    <t>Determina 271 del 17/04/2020</t>
  </si>
  <si>
    <t>Determina 272 del 17/04/2020</t>
  </si>
  <si>
    <t>Determina 286 del 23/04/2020</t>
  </si>
  <si>
    <t>Società Olivetti SPA (fibra ottica) Telecom</t>
  </si>
  <si>
    <t>02298700010 - 00488410010</t>
  </si>
  <si>
    <t>Determina 287 del 23/04/2020</t>
  </si>
  <si>
    <t>Determina 288 del 23/04/2020</t>
  </si>
  <si>
    <t>Art. 125 Dlgs 163/2006 CIG: ZD22BE776E</t>
  </si>
  <si>
    <t>MYO S.P.A.</t>
  </si>
  <si>
    <t>03222970406</t>
  </si>
  <si>
    <t>Determina 300 del 27/04/2020</t>
  </si>
  <si>
    <t>Art. 125 Dlgs 163/2006 CIG: ZED100D080</t>
  </si>
  <si>
    <t>Determina 301 del 27/04/2020</t>
  </si>
  <si>
    <t>Art. 125 Dlgs 163/2006 CIG: ZCD2BF8998</t>
  </si>
  <si>
    <t>Aruba PEC SpA</t>
  </si>
  <si>
    <t>1879020517</t>
  </si>
  <si>
    <t>Determina 306 del 30/04/2020</t>
  </si>
  <si>
    <t>Determina 307 del 30/04/2020</t>
  </si>
  <si>
    <t>Art. 36 comma 2 lettera a) Dlgs 50/2016 CIG: ZCD2C12D3C</t>
  </si>
  <si>
    <t>DPS INFORMATICA S.N.C. DI PRESELLO GIANNI &amp; C</t>
  </si>
  <si>
    <t>1486330309</t>
  </si>
  <si>
    <t>Determina 308 del 30/04/2020</t>
  </si>
  <si>
    <t>Determina 309 del 30/04/2020</t>
  </si>
  <si>
    <t>Determina 310 del 30/04/2020</t>
  </si>
  <si>
    <t>Art. 36 comma 2 lettera a) Dlgs 50/2016 CIG Convenzione Consip: ; noleggio USRC: CIG Z722C61A1A</t>
  </si>
  <si>
    <t>DE MATTEIS SRL</t>
  </si>
  <si>
    <t>0198624069</t>
  </si>
  <si>
    <t>Determina 337 del 07/05/2020</t>
  </si>
  <si>
    <t>Determinazione USRC n.337 del 2020.pdf</t>
  </si>
  <si>
    <t>Art. 125 Dlgs 163/2006 CIG: Z1C2B1564</t>
  </si>
  <si>
    <t>DATAMATE SRL</t>
  </si>
  <si>
    <t>0687148378</t>
  </si>
  <si>
    <t>Determina 348 del 11/05/2020</t>
  </si>
  <si>
    <t>Determinazione USRC n.348 del 2020.pdf</t>
  </si>
  <si>
    <t>Art. 36 comma 2 lettera a) Dlgs 50/2016 CIG: Z3F2C93152</t>
  </si>
  <si>
    <t>PULISERVICE Srl</t>
  </si>
  <si>
    <t>01469360661</t>
  </si>
  <si>
    <t>Determina 349 del 11/05/2020</t>
  </si>
  <si>
    <t>Determinazione USRC n.349 del 2020.pdf</t>
  </si>
  <si>
    <t>Determina 397 del 25/05/2020</t>
  </si>
  <si>
    <t>Determinazione USRC n.397 del 2020.pdf</t>
  </si>
  <si>
    <t>Determina 398 del 25/05/2020</t>
  </si>
  <si>
    <t>Determinazione USRC n.398 del 2020.pdf</t>
  </si>
  <si>
    <t>Determina 399 del 25/05/2020</t>
  </si>
  <si>
    <t>Determinazione USRC n.399 del 2020.pdf</t>
  </si>
  <si>
    <t>Art. 125 Dlgs 163/2006 CIG: Z892B74510</t>
  </si>
  <si>
    <t>Determina 400 del 25/05/2020</t>
  </si>
  <si>
    <t>Determinazione USRC n.400 del 2020.pdf</t>
  </si>
  <si>
    <t>Determina 401 del 26/05/2020</t>
  </si>
  <si>
    <t>Determinazione USRC n.401 del 2020.pdf</t>
  </si>
  <si>
    <t>Determina 402 del 26/05/2020</t>
  </si>
  <si>
    <t>Determinazione USRC n.402 del 2020.pdf</t>
  </si>
  <si>
    <t>Determina 403 del 27/05/2020</t>
  </si>
  <si>
    <t>Determinazione USRC n.403 del 2020.pdf</t>
  </si>
  <si>
    <t>Art. 36 comma 2 lettera a) Dlgs 50/2016 CIG: ZCF2C9F116</t>
  </si>
  <si>
    <t>Europence</t>
  </si>
  <si>
    <t>037559300167</t>
  </si>
  <si>
    <t>Determina 404 del 27/05/2020</t>
  </si>
  <si>
    <t>Determinazione USRC n.404 del 2020.pdf</t>
  </si>
  <si>
    <t>Art. 36 comma 2 lettera a) Dlgs 50/2016 CIG: ZB2298E927</t>
  </si>
  <si>
    <t>BANCA FARMAFACTORING SPA</t>
  </si>
  <si>
    <t>07960110158</t>
  </si>
  <si>
    <t>Determina 416 del 01/06/2020</t>
  </si>
  <si>
    <t>Determinazione USRC n.416 del 2020.pdf</t>
  </si>
  <si>
    <t>Art. 36 comma 2 lettera a) Dlgs 50/2016 CIG: Z5B2CED541</t>
  </si>
  <si>
    <t>PubliGare Management srl (P.IVA 12328591008).</t>
  </si>
  <si>
    <t>12328591008</t>
  </si>
  <si>
    <t>Determina 420 del 03/06/2020</t>
  </si>
  <si>
    <t>Determinazione USRC n.420 del 2020.pdf</t>
  </si>
  <si>
    <t>Art. 36 comma 2 lettera a) Dlgs 50/2016 CIG: ZD92A9270C</t>
  </si>
  <si>
    <t>Digital PA</t>
  </si>
  <si>
    <t>03553050927</t>
  </si>
  <si>
    <t>Determina 431 del 09/06/2020</t>
  </si>
  <si>
    <t>Determinazione USRC n.431 del 2020.pdf</t>
  </si>
  <si>
    <t>Determina 436 del 10/06/2020</t>
  </si>
  <si>
    <t>Determinazione USRC n.436 del 2020.pdf</t>
  </si>
  <si>
    <t>Determina 462 del 17/06/2020</t>
  </si>
  <si>
    <t>Determinazione USRC n.462 del 2020.pdf</t>
  </si>
  <si>
    <t>Art. 36 comma 2 lettera a) Dlgs 50/2016 CIG: Z132C95872</t>
  </si>
  <si>
    <t>BELLINI - UNIONE SPECIALISTI ARTIGIANI SNC DI DE BLASI M. &amp; A.</t>
  </si>
  <si>
    <t>01189570128</t>
  </si>
  <si>
    <t>Determina 463 del 17/06/2020</t>
  </si>
  <si>
    <t>Determinazione USRC n.463 del 2020.pdf</t>
  </si>
  <si>
    <t>Determina 464 del 17/06/2020</t>
  </si>
  <si>
    <t>Determinazione USRC n.464 del 2020.pdf</t>
  </si>
  <si>
    <t>Determina 465 del 17/06/2020</t>
  </si>
  <si>
    <t>Determinazione USRC n.465 del 2020.pdf</t>
  </si>
  <si>
    <t>Art. 36 comma 2 lettera a) Dlgs 50/2016 CIG Convenzione Consip: ; noleggio USRC: CIG Z922C5A053</t>
  </si>
  <si>
    <t>MA.PO SRL</t>
  </si>
  <si>
    <t>02509001208</t>
  </si>
  <si>
    <t>Determina 503 del 30/06/2020</t>
  </si>
  <si>
    <t>Determinazione USRC n.503 del 2020.pdf</t>
  </si>
  <si>
    <t>Art. 36 comma 2 lettera a) Dlgs 50/2016 CIG: Z812CFC9D4</t>
  </si>
  <si>
    <t>INFORMATICA.NET</t>
  </si>
  <si>
    <t>04654610874</t>
  </si>
  <si>
    <t>servizi</t>
  </si>
  <si>
    <t>Determina 504 del 30/06/2020</t>
  </si>
  <si>
    <t>Determinazione USRC n.504 del 2020.pdf</t>
  </si>
  <si>
    <t>Art. 36 comma 2 lettera a) Dlgs 50/2016 CIG: Z1C2CDF07E</t>
  </si>
  <si>
    <t>MAESTRIPIERI SRL</t>
  </si>
  <si>
    <t>03804230104</t>
  </si>
  <si>
    <t>Determina 505 del 30/06/2020</t>
  </si>
  <si>
    <t>Determinazione USRC n.505 del 2020.pdf</t>
  </si>
  <si>
    <t>Determina 506 del 30/06/2020</t>
  </si>
  <si>
    <t>Determinazione USRC n.506 del 2020.pdf</t>
  </si>
  <si>
    <t>Determina 547 del 15/07/2020</t>
  </si>
  <si>
    <t>Determinazione USRC n.547 del 2020.pdf</t>
  </si>
  <si>
    <t>Determina 548 del 15/07/2020</t>
  </si>
  <si>
    <t>Determinazione USRC n.548 del 2020.pdf</t>
  </si>
  <si>
    <t>Determina 549 del 15/07/2020</t>
  </si>
  <si>
    <t>Determinazione USRC n.549 del 2020.pdf</t>
  </si>
  <si>
    <t>Determina 562 del 16/07/2020</t>
  </si>
  <si>
    <t>Determinazione USRC n.562 del 2020.pdf</t>
  </si>
  <si>
    <t>NOHUP SRL</t>
  </si>
  <si>
    <t>IT02346930304</t>
  </si>
  <si>
    <t>Determina 646 del 31/08/2020</t>
  </si>
  <si>
    <t>Determinazione USRC n.646 del 2020.pdf</t>
  </si>
  <si>
    <t>Determina 647 del 31/08/2020</t>
  </si>
  <si>
    <t>Determinazione USRC n.647 del 2020.pdf</t>
  </si>
  <si>
    <t>Art. 36 comma 2 lettera a) Dlgs 50/2016 CIG Convenzione Consip: ; noleggio USRC: CIG ZD82C5A090</t>
  </si>
  <si>
    <t>PLANET 99 srl</t>
  </si>
  <si>
    <t>Determina 648 del 31/08/2020</t>
  </si>
  <si>
    <t>Determinazione USRC n.648 del 2020.pdf</t>
  </si>
  <si>
    <t>Determina 649 del 31/08/2020</t>
  </si>
  <si>
    <t>Determinazione USRC n.649 del 2020.pdf</t>
  </si>
  <si>
    <t>Determina 650 del 31/08/2020</t>
  </si>
  <si>
    <t>Determinazione USRC n.650 del 2020.pdf</t>
  </si>
  <si>
    <t>Art. 36 comma 2 lettera a) Dlgs 50/2016 CIG: Z472CDE588</t>
  </si>
  <si>
    <t>Massimiliano Scimia Costruzioni</t>
  </si>
  <si>
    <t>01632610661</t>
  </si>
  <si>
    <t>Determina 651 del 31/08/2020</t>
  </si>
  <si>
    <t>Determinazione USRC n.651 del 2020.pdf</t>
  </si>
  <si>
    <t>Determina 652 del 31/08/2020</t>
  </si>
  <si>
    <t>Determinazione USRC n.652 del 2020.pdf</t>
  </si>
  <si>
    <t>Art. 36 comma 2 lettera a) Dlgs 50/2016 CIG: ZA82B74884</t>
  </si>
  <si>
    <t>Determina 653 del 31/08/2020</t>
  </si>
  <si>
    <t>Determinazione USRC n.653 del 2020.pdf</t>
  </si>
  <si>
    <t>Determina 670 del 03/09/2020</t>
  </si>
  <si>
    <t>Determinazione USRC n.670 del 2020.pdf</t>
  </si>
  <si>
    <t>Determina 702 del 17/09/2020</t>
  </si>
  <si>
    <t>Determinazione USRC n.702 del 2020.pdf</t>
  </si>
  <si>
    <t>Determina 703 del 17/09/2020</t>
  </si>
  <si>
    <t>Determinazione USRC n.703 del 2020.pdf</t>
  </si>
  <si>
    <t>Determina 704 del 17/09/2020</t>
  </si>
  <si>
    <t>Determinazione USRC n.704 del 2020.pdf</t>
  </si>
  <si>
    <t>Determina 705 del 17/09/2020</t>
  </si>
  <si>
    <t>Determinazione USRC n.705 del 2020.pdf</t>
  </si>
  <si>
    <t>Determina 706 del 17/09/2020</t>
  </si>
  <si>
    <t>Determinazione USRC n.706 del 2020.pdf</t>
  </si>
  <si>
    <t>Determina 707 del 17/09/2020</t>
  </si>
  <si>
    <t>Determinazione USRC n.707 del 2020.pdf</t>
  </si>
  <si>
    <t>Determina 708 del 17/09/2020</t>
  </si>
  <si>
    <t>Determinazione USRC n.708 del 2020.pdf</t>
  </si>
  <si>
    <t>Determina 709 del 17/09/2020</t>
  </si>
  <si>
    <t>Determinazione USRC n.709 del 2020.pdf</t>
  </si>
  <si>
    <t>ex Art. 125 Dlgs 163/2006 CIG:</t>
  </si>
  <si>
    <t>PFM Srl - Edil Porta Romana di Rotilio Ercole &amp; C.sas</t>
  </si>
  <si>
    <t>02065670669</t>
  </si>
  <si>
    <t>Determina 710 del 17/09/2020</t>
  </si>
  <si>
    <t>Determinazione USRC n.710 del 2020.pdf</t>
  </si>
  <si>
    <t>Determina 711 del 17/09/2020</t>
  </si>
  <si>
    <t>Determinazione USRC n.711 del 2020.pdf</t>
  </si>
  <si>
    <t>Determina 748 del 02/10/2020</t>
  </si>
  <si>
    <t>Determinazione USRC n.748 del 2020.pdf</t>
  </si>
  <si>
    <t>Art. 36 comma 2 lettera a) Dlgs 50/2016 CIG: ZBC2CFA3CE</t>
  </si>
  <si>
    <t>Determina 749 del 02/10/2020</t>
  </si>
  <si>
    <t>Determinazione USRC n.749 del 2020.pdf</t>
  </si>
  <si>
    <t>Determina 750 del 02/10/2020</t>
  </si>
  <si>
    <t>Determinazione USRC n.750 del 2020.pdf</t>
  </si>
  <si>
    <t>Determina 794 del 22/10/2020</t>
  </si>
  <si>
    <t>Determinazione USRC n.794 del 2020.pdf</t>
  </si>
  <si>
    <t>Determina 795 del 22/10/2020</t>
  </si>
  <si>
    <t>Determinazione USRC n.795 del 2020.pdf</t>
  </si>
  <si>
    <t>Art. 36 comma 2 lettera a) Dlgs 50/2016 CIG: Z992EB96A8</t>
  </si>
  <si>
    <t>Determina 855 del 10/11/2020</t>
  </si>
  <si>
    <t>Determinazione USRC n.855 del 2020.pdf</t>
  </si>
  <si>
    <t>Determina 871 del 17/11/2020</t>
  </si>
  <si>
    <t>Determinazione USRC n.871 del 2020.pdf</t>
  </si>
  <si>
    <t>Determina 942 del 26/11/2020</t>
  </si>
  <si>
    <t>Determinazione USRC n.942 del 2020.pdf</t>
  </si>
  <si>
    <t>Art. 36 comma 2 lettera a) Dlgs 50/2016 CIG:</t>
  </si>
  <si>
    <t>personale USRC</t>
  </si>
  <si>
    <t>Determina 947 del 30/11/2020</t>
  </si>
  <si>
    <t>Determinazione USRC n.947 del 2020.pdf</t>
  </si>
  <si>
    <t>Art. 36 comma 2 lettera a) Dlgs 50/2016 CIG: ZA52DD3E1D</t>
  </si>
  <si>
    <t>Creative di Massimiliano Crea &amp; C. S.a.s.</t>
  </si>
  <si>
    <t>01824530693</t>
  </si>
  <si>
    <t>Determina 1015 del 03/12/2020</t>
  </si>
  <si>
    <t>Determinazione USRC n.1015 del 2020.pdf</t>
  </si>
  <si>
    <t>determina 1016 del 14/12/2020</t>
  </si>
  <si>
    <t>Determinazione USRC n.1016 del 2020.pdf</t>
  </si>
  <si>
    <t>Art. 36 comma 2 lettera a) Dlgs 50/2016 CIG: ZBC2D93409</t>
  </si>
  <si>
    <t>TECNO OFFICE SNC</t>
  </si>
  <si>
    <t>01259150553</t>
  </si>
  <si>
    <t>fornitura</t>
  </si>
  <si>
    <t>determina 1017 del 14/12/2020</t>
  </si>
  <si>
    <t>Determinazione USRC n.1017 del 2020.pdf</t>
  </si>
  <si>
    <t>Art. 36 comma 2 lettera a) Dlgs 50/2016 CIG: Z662D472A5</t>
  </si>
  <si>
    <t>SERIJET PROMOTION SaS</t>
  </si>
  <si>
    <t>01692830662</t>
  </si>
  <si>
    <t>Determina 1023 DEL 16/12/2020</t>
  </si>
  <si>
    <t>Determinazione USRC n.1023 del 2020.pdf</t>
  </si>
  <si>
    <t>Determina 1035 DEL 18/12/2020</t>
  </si>
  <si>
    <t>Determinazione USRC n.1035 del 2020.pdf</t>
  </si>
  <si>
    <t>Determina 1042 DEL 19/12/2020</t>
  </si>
  <si>
    <t>Determinazione USRC n.1042 del 2020.pdf</t>
  </si>
  <si>
    <t>Determina 1043 DEL 19/12/2020</t>
  </si>
  <si>
    <t>Determinazione USRC n.1043 del 2020.pdf</t>
  </si>
  <si>
    <t>Art. 36 comma 2 lettera a) Dlgs 50/2016 CIG: Z652CE81AB</t>
  </si>
  <si>
    <t>PROFESSIONAL SERVICE</t>
  </si>
  <si>
    <t>01386880668</t>
  </si>
  <si>
    <t>Determina 1057 del 22/12/2020</t>
  </si>
  <si>
    <t>Determinazione USRC n.1057 del 2020.pdf</t>
  </si>
  <si>
    <t>Determina n. 5 del 12/01/2021</t>
  </si>
  <si>
    <t>Determinazione USRC n.5 del 2021.pdf</t>
  </si>
  <si>
    <t>Determina n. 6 del 12/01/2021</t>
  </si>
  <si>
    <t>Determinazione USRC n.6 del 2026.pdf</t>
  </si>
  <si>
    <t>Determina n. 7 del 14/01/2021</t>
  </si>
  <si>
    <t>Determinazione USRC n.7 del 2021.pdf</t>
  </si>
  <si>
    <t>Determina n. 8 del 14/01/2021</t>
  </si>
  <si>
    <t>Determinazione USRC n.8 del 2020.pdf</t>
  </si>
  <si>
    <t>Determina n. 17 del 19/01/2021</t>
  </si>
  <si>
    <t>Determinazione USRC n.17 del 2021.pdf</t>
  </si>
  <si>
    <t>Art. 36 comma 2 lettera a) Dlgs 50/2016 CIG Convenzione Consip: ; noleggio USRC: CIG Z022BC7E50</t>
  </si>
  <si>
    <t>LEASYS</t>
  </si>
  <si>
    <t>6714021000</t>
  </si>
  <si>
    <t>Determina n. 18 del 19/01/2021</t>
  </si>
  <si>
    <t>Determinazione USRC n.18 del 2021.pdf</t>
  </si>
  <si>
    <t>Determina n. 19 del 19/01/2021</t>
  </si>
  <si>
    <t>Determinazione USRC n.19 del 2021.pdf</t>
  </si>
  <si>
    <t>Determina n. 20 del 19/01/2021</t>
  </si>
  <si>
    <t>Determinazione USRC n.20 del 2021.pdf</t>
  </si>
  <si>
    <t>Art. 36 comma 2 lettera a) Dlgs 50/2016 CIG: Z932E2477B</t>
  </si>
  <si>
    <t>ESSESHOP DI FABIO SOFIA</t>
  </si>
  <si>
    <t>02797670839</t>
  </si>
  <si>
    <t>Determina n. 30 del 20/01/2021</t>
  </si>
  <si>
    <t>Determinazione USRC n.30 del 2021.pdf</t>
  </si>
  <si>
    <t>01924961005</t>
  </si>
  <si>
    <t>Determina n. 31 del 20/01/2021</t>
  </si>
  <si>
    <t>Determinazione USRC n.31 del 2021.pdf</t>
  </si>
  <si>
    <t>Determina n. 32 del 20/01/2021</t>
  </si>
  <si>
    <t>Determinazione USRC n.32 del 2021.pdf</t>
  </si>
  <si>
    <t>Determina n. 33 del 20/01/2021</t>
  </si>
  <si>
    <t>Determinazione USRC n.33 del 2021.pdf</t>
  </si>
  <si>
    <t>Determina n. 36 del 21/01/2021</t>
  </si>
  <si>
    <t>Determinazione USRC n.36 del 2021.pdf</t>
  </si>
  <si>
    <t>Determina n. 37 del 21/01/2021</t>
  </si>
  <si>
    <t>Determinazione USRC n.37 del 2021.pdf</t>
  </si>
  <si>
    <t>Determina n. 45 del 26/01/2021</t>
  </si>
  <si>
    <t>Determinazione USRC n.45 del 2021.pdf</t>
  </si>
  <si>
    <t>Determina n. 46 del 26/01/2021</t>
  </si>
  <si>
    <t>Determinazione USRC n.46 del 2021.pdf</t>
  </si>
  <si>
    <t>Determina n. 47 del 26/01/2021</t>
  </si>
  <si>
    <t>Determinazione USRC n.47 del 2021.pdf</t>
  </si>
  <si>
    <t>Art. 36 comma 2 lettera a) Dlgs 50/2016 CIG: Z7F2EE4CAF</t>
  </si>
  <si>
    <t>EFTOSKI snc</t>
  </si>
  <si>
    <t>01586960666,</t>
  </si>
  <si>
    <t>Determina n. 48 del 26/01/2021</t>
  </si>
  <si>
    <t>Determinazione USRC n.48 del 2021.pdf</t>
  </si>
  <si>
    <t>Art. 36 comma 2 lettera a) Dlgs 50/2016 CIG: Z632F569B6</t>
  </si>
  <si>
    <t>FPA S.r.l.</t>
  </si>
  <si>
    <t>10693191008</t>
  </si>
  <si>
    <t>Determina n. 49 del 26/01/2021</t>
  </si>
  <si>
    <t>Determinazione USRC n.49 del 2021.pdf</t>
  </si>
  <si>
    <t>Determina n. 69 del 02/02/2021</t>
  </si>
  <si>
    <t>Determinazione USRC n.69 del 2021.pdf</t>
  </si>
  <si>
    <t>Art. 36 comma 2 lettera a) Dlgs 50/2016 CIG: ZE92D31C79</t>
  </si>
  <si>
    <t>Determina n. 73 del 05/02/2021</t>
  </si>
  <si>
    <t>Determinazione USRC n.73 del 2021.pdf</t>
  </si>
  <si>
    <t>Art. 36 comma 2 lettera a) Dlgs 50/2016 CIG: Z3A2EACD8C</t>
  </si>
  <si>
    <t>SIELCO S.r.l.</t>
  </si>
  <si>
    <t>00614130128</t>
  </si>
  <si>
    <t>Determina n. 113 del 22/02/2021</t>
  </si>
  <si>
    <t>Determinazione USRC n.113 del 2021.pdf</t>
  </si>
  <si>
    <t>Determina n. 114 del 22/02/2021</t>
  </si>
  <si>
    <t>Determinazione USRC n.114 del 2021.pdf</t>
  </si>
  <si>
    <t>Determina n. 115 del 22/02/2021</t>
  </si>
  <si>
    <t>Determinazione USRC n.115 del 2021.pdf</t>
  </si>
  <si>
    <t>Determina n. 116 del 22/02/2021</t>
  </si>
  <si>
    <t>Determinazione USRC n.116 del 2021.pdf</t>
  </si>
  <si>
    <t>determina n. 138 del 26/02/2021</t>
  </si>
  <si>
    <t>Determinazione USRC n.138 del 2021.pdf</t>
  </si>
  <si>
    <t>determina n. 139 del 26/02/2021</t>
  </si>
  <si>
    <t>Determinazione USRC n.139 del 2021.pdf</t>
  </si>
  <si>
    <t>determina n. 140 del 26/02/2021</t>
  </si>
  <si>
    <t>Determinazione USRC n.140 del 2021.pdf</t>
  </si>
  <si>
    <t>determina n. 141 del 26/02/2021</t>
  </si>
  <si>
    <t>Determinazione USRC n.141 del 2021.pdf</t>
  </si>
  <si>
    <t>ex Art. 125 Dlgs 163/2006 CIG: ZC62FB5E8D</t>
  </si>
  <si>
    <t>Carsa S.r.l.</t>
  </si>
  <si>
    <t>01158870681</t>
  </si>
  <si>
    <t>determina n. 142 del 26/02/2021</t>
  </si>
  <si>
    <t>Determinazione USRC n.142 del 2021.pdf</t>
  </si>
  <si>
    <t>Determina n. 162 del 03/03/2021</t>
  </si>
  <si>
    <t>Determinazione USRC n.162 del 2021.pdf</t>
  </si>
  <si>
    <t>Determina n. 163 del 03/03/2021</t>
  </si>
  <si>
    <t>Determinazione USRC n.163 del 2021.pdf</t>
  </si>
  <si>
    <t>Determina n. 164 del 03/03/2021</t>
  </si>
  <si>
    <t>Determinazione USRC n.164 del 2021.pdf</t>
  </si>
  <si>
    <t>Determina n. 173 del 05/03/2021</t>
  </si>
  <si>
    <t>Determinazione USRC n.173 del 2021.pdf</t>
  </si>
  <si>
    <t>Art. 36 comma 2 lettera a) Dlgs 50/2016 CIG: Z022F1C1B1</t>
  </si>
  <si>
    <t>Pulitomania di Vicerè Valentina</t>
  </si>
  <si>
    <t>02007030667</t>
  </si>
  <si>
    <t>determina n. 186 del 09/03/2021</t>
  </si>
  <si>
    <t>Determinazione USRC n.186 del 2021.pdf</t>
  </si>
  <si>
    <t>ex Art. 125 Dlgs 163/2006 CIG: Z822FC6C7B</t>
  </si>
  <si>
    <t>POLONORD ADESTE SRL</t>
  </si>
  <si>
    <t>02052230394</t>
  </si>
  <si>
    <t>determina n. 187 del 09/03/2021</t>
  </si>
  <si>
    <t>Determinazione USRC n.187 del 2021.pdf</t>
  </si>
  <si>
    <t>determina n. 192 del 12/03/2021</t>
  </si>
  <si>
    <t>Determinazione USRC n.192 del 2021.pdf</t>
  </si>
  <si>
    <t>determina n. 193 del 12/03/2021</t>
  </si>
  <si>
    <t>Determinazione USRC n.193 del 2021.pdf</t>
  </si>
  <si>
    <t>determina n. 194 del 12/03/2021</t>
  </si>
  <si>
    <t>Determinazione USRC n.194 del 2021.pdf</t>
  </si>
  <si>
    <t>determina n. 195 del 12/03/2021</t>
  </si>
  <si>
    <t>Determinazione USRC n.195 del 2021.pdf</t>
  </si>
  <si>
    <t>determina n. 196 del 12/03/2021</t>
  </si>
  <si>
    <t>Determinazione USRC n.196 del 2021.pdf</t>
  </si>
  <si>
    <t>determina n. 212 del 19/03/2021</t>
  </si>
  <si>
    <t>Determinazione USRC n.212 del 2021.pdf</t>
  </si>
  <si>
    <t>determina n. 213 del 19/03/2021</t>
  </si>
  <si>
    <t>Determinazione USRC n.213 del 2021.pdf</t>
  </si>
  <si>
    <t>Art. 36 comma 2 lettera a) Dlgs 50/2016 CIG: 8492314F32</t>
  </si>
  <si>
    <t>MEDIAGEST S.r.l.</t>
  </si>
  <si>
    <t>02252850595</t>
  </si>
  <si>
    <t>determina n. 235 del 25/03/2021</t>
  </si>
  <si>
    <t>Determinazione USRC n.235 del 2021.pdf</t>
  </si>
  <si>
    <t>Art. 36 comma 2 lettera a) Dlgs 50/2016 CIG: ZF6309577E</t>
  </si>
  <si>
    <t>determina n. 236 del 25/03/2021</t>
  </si>
  <si>
    <t>Determinazione USRC n.236 del 2021.pdf</t>
  </si>
  <si>
    <t>determina n. 271 del 01/04/2021</t>
  </si>
  <si>
    <t>Determinazione USRC n.271 del 2021.pdf</t>
  </si>
  <si>
    <t>determina n. 277 del 08/04/2021</t>
  </si>
  <si>
    <t>Determinazione USRC n.277 del 2021.pdf</t>
  </si>
  <si>
    <t>Art. 125 Dlgs 163/2006 CIG: ZC23097C76</t>
  </si>
  <si>
    <t>BPER filiale Rocca di Mezzo</t>
  </si>
  <si>
    <t>03830780361</t>
  </si>
  <si>
    <t>determina n. 278 del 08/04/2021</t>
  </si>
  <si>
    <t>Determinazione USRC n.278 del 2021.pdf</t>
  </si>
  <si>
    <t>determina n. 280 del 09/04/2021</t>
  </si>
  <si>
    <t>Determinazione USRC n.280 del 2021.pdf</t>
  </si>
  <si>
    <t>Art. 36 comma 2 lettera a) Dlgs 50/2016 CIG Convenzione Consip: ; noleggio USRC: CIG Z38306C850</t>
  </si>
  <si>
    <t>ASSITECA SPA</t>
  </si>
  <si>
    <t>09743130156</t>
  </si>
  <si>
    <t>determina n. 281 del 09/04/2021</t>
  </si>
  <si>
    <t>Determinazione USRC n.281 del 2021.pdf</t>
  </si>
  <si>
    <t>Art. 36 comma 2 lettera a) Dlgs 50/2016 CIG: Z2A30D145A</t>
  </si>
  <si>
    <t>JOLLYGRAPHS SRLS</t>
  </si>
  <si>
    <t>02043360664</t>
  </si>
  <si>
    <t>determina n. 282 del 09/04/2021</t>
  </si>
  <si>
    <t>Determinazione USRC n.282 del 2021.pdf</t>
  </si>
  <si>
    <t>Art. 36 comma 2 lettera a) Dlgs 50/2016 CIG: Z5F30FACB0</t>
  </si>
  <si>
    <t>02346930304</t>
  </si>
  <si>
    <t>determina n. 283 del 09/04/2021</t>
  </si>
  <si>
    <t>Determinazione USRC n.283 del 2021.pdf</t>
  </si>
  <si>
    <t>Art. 36 comma 2 lettera a) Dlgs 50/2016 CIG: Z322EFBD2D</t>
  </si>
  <si>
    <t>HERA COMM S.r.l.</t>
  </si>
  <si>
    <t>02221101203</t>
  </si>
  <si>
    <t>determina n. 284 del 09/04/2021</t>
  </si>
  <si>
    <t>Determinazione USRC n.284 del 2021.pdf</t>
  </si>
  <si>
    <t>determina n. 298 del 15/04/2021</t>
  </si>
  <si>
    <t>Determinazione USRC n.298 del 2021.pdf</t>
  </si>
  <si>
    <t>Art. 36 comma 2 lettera a) Dlgs 50/2016 CIG: Z3930ED0A0</t>
  </si>
  <si>
    <t>determina n. 299 del 15/04/2021</t>
  </si>
  <si>
    <t>Determinazione USRC n.299 del 2021.pdf</t>
  </si>
  <si>
    <t>determina n. 300 del 15/04/2021</t>
  </si>
  <si>
    <t>Determinazione USRC n.300 del 2021.pdf</t>
  </si>
  <si>
    <t>determina n. 304 del 16/04/2021</t>
  </si>
  <si>
    <t>Determinazione USRC n.304 del 2021.pdf</t>
  </si>
  <si>
    <t>Art. 36 comma 2 lettera a) Dlgs 50/2016 CIG: Z2630D5FC0</t>
  </si>
  <si>
    <t>WINTECH S.P.A.</t>
  </si>
  <si>
    <t>01356530285</t>
  </si>
  <si>
    <t>determina n. 315 del 23/04/2021</t>
  </si>
  <si>
    <t>Determinazione USRC n.315 del 2021.pdf</t>
  </si>
  <si>
    <t>Art. 36 comma 2 lettera a) Dlgs 50/2016 CIG: Z9B310FD79</t>
  </si>
  <si>
    <t>2M FORNITURE SRL</t>
  </si>
  <si>
    <t>03637990650</t>
  </si>
  <si>
    <t>determina n. 316 del 23/04/2021</t>
  </si>
  <si>
    <t>Determinazione USRC n.316 del 2021.pdf</t>
  </si>
  <si>
    <t>determina n. 317 del 23/04/2021</t>
  </si>
  <si>
    <t>Determinazione USRC n.317 del 2021.pdf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</si>
</sst>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-2]\ #,##0.00"/>
    <numFmt numFmtId="165" formatCode="&quot;€&quot;#,##0.00"/>
  </numFmts>
  <fonts count="16">
    <font>
      <sz val="11.0"/>
      <color rgb="FF000000"/>
      <name val="Calibri"/>
    </font>
    <font>
      <b/>
      <sz val="10.0"/>
      <color rgb="FF000000"/>
      <name val="Arial"/>
    </font>
    <font>
      <u/>
      <sz val="10.0"/>
      <color rgb="FF0000FF"/>
      <name val="Arial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/>
    <font>
      <u/>
      <sz val="11.0"/>
      <color rgb="FF000000"/>
      <name val="Calibri"/>
    </font>
    <font>
      <u/>
      <sz val="11.0"/>
      <color rgb="FF000000"/>
      <name val="Calibri"/>
    </font>
    <font>
      <sz val="11.0"/>
      <color rgb="FF262626"/>
      <name val="&quot;Times New Roman&quot;"/>
    </font>
    <font>
      <u/>
      <sz val="11.0"/>
      <color rgb="FF000000"/>
      <name val="Calibri"/>
    </font>
    <font>
      <sz val="11.0"/>
      <name val="Calibri"/>
    </font>
    <font>
      <name val="Arial"/>
    </font>
    <font>
      <u/>
      <sz val="11.0"/>
      <color rgb="FF000000"/>
      <name val="Calibri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49" xfId="0" applyAlignment="1" applyBorder="1" applyFont="1" applyNumberFormat="1">
      <alignment horizontal="right" shrinkToFit="0" vertical="center" wrapText="0"/>
    </xf>
    <xf borderId="1" fillId="2" fontId="1" numFmtId="4" xfId="0" applyAlignment="1" applyBorder="1" applyFont="1" applyNumberFormat="1">
      <alignment horizontal="center" shrinkToFit="0" vertical="center" wrapText="0"/>
    </xf>
    <xf borderId="1" fillId="2" fontId="1" numFmtId="0" xfId="0" applyAlignment="1" applyBorder="1" applyFont="1">
      <alignment horizontal="center" shrinkToFit="0" wrapText="0"/>
    </xf>
    <xf borderId="1" fillId="2" fontId="1" numFmtId="0" xfId="0" applyAlignment="1" applyBorder="1" applyFont="1">
      <alignment horizontal="center" readingOrder="0" shrinkToFit="0" wrapText="0"/>
    </xf>
    <xf borderId="0" fillId="2" fontId="1" numFmtId="0" xfId="0" applyAlignment="1" applyFont="1">
      <alignment horizontal="center" readingOrder="0" shrinkToFit="0" wrapText="0"/>
    </xf>
    <xf borderId="1" fillId="0" fontId="0" numFmtId="0" xfId="0" applyAlignment="1" applyBorder="1" applyFont="1">
      <alignment readingOrder="0" shrinkToFit="0" vertical="bottom" wrapText="0"/>
    </xf>
    <xf borderId="1" fillId="0" fontId="0" numFmtId="49" xfId="0" applyAlignment="1" applyBorder="1" applyFont="1" applyNumberFormat="1">
      <alignment horizontal="right" readingOrder="0" shrinkToFit="0" vertical="bottom" wrapText="0"/>
    </xf>
    <xf borderId="1" fillId="0" fontId="0" numFmtId="0" xfId="0" applyAlignment="1" applyBorder="1" applyFont="1">
      <alignment horizontal="left" readingOrder="0" shrinkToFit="0" vertical="bottom" wrapText="0"/>
    </xf>
    <xf borderId="1" fillId="0" fontId="0" numFmtId="164" xfId="0" applyAlignment="1" applyBorder="1" applyFont="1" applyNumberFormat="1">
      <alignment readingOrder="0" shrinkToFit="0" vertical="bottom" wrapText="0"/>
    </xf>
    <xf borderId="1" fillId="0" fontId="2" numFmtId="0" xfId="0" applyAlignment="1" applyBorder="1" applyFont="1">
      <alignment shrinkToFit="0" wrapText="0"/>
    </xf>
    <xf borderId="1" fillId="0" fontId="0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1" fillId="0" fontId="3" numFmtId="0" xfId="0" applyAlignment="1" applyBorder="1" applyFont="1">
      <alignment shrinkToFit="0" wrapText="0"/>
    </xf>
    <xf borderId="1" fillId="0" fontId="4" numFmtId="0" xfId="0" applyAlignment="1" applyBorder="1" applyFont="1">
      <alignment readingOrder="0" shrinkToFit="0" vertical="bottom" wrapText="0"/>
    </xf>
    <xf quotePrefix="1" borderId="1" fillId="0" fontId="0" numFmtId="49" xfId="0" applyAlignment="1" applyBorder="1" applyFont="1" applyNumberFormat="1">
      <alignment horizontal="right" readingOrder="0" shrinkToFit="0" vertical="bottom" wrapText="0"/>
    </xf>
    <xf borderId="1" fillId="0" fontId="0" numFmtId="0" xfId="0" applyAlignment="1" applyBorder="1" applyFont="1">
      <alignment readingOrder="0" shrinkToFit="0" wrapText="0"/>
    </xf>
    <xf borderId="0" fillId="0" fontId="0" numFmtId="0" xfId="0" applyAlignment="1" applyFont="1">
      <alignment readingOrder="0" shrinkToFit="0" vertical="bottom" wrapText="0"/>
    </xf>
    <xf borderId="1" fillId="0" fontId="5" numFmtId="4" xfId="0" applyAlignment="1" applyBorder="1" applyFont="1" applyNumberFormat="1">
      <alignment readingOrder="0" shrinkToFit="0" vertical="bottom" wrapText="0"/>
    </xf>
    <xf borderId="1" fillId="0" fontId="0" numFmtId="49" xfId="0" applyAlignment="1" applyBorder="1" applyFont="1" applyNumberFormat="1">
      <alignment readingOrder="0" shrinkToFit="0" vertical="bottom" wrapText="0"/>
    </xf>
    <xf borderId="1" fillId="0" fontId="6" numFmtId="4" xfId="0" applyAlignment="1" applyBorder="1" applyFont="1" applyNumberFormat="1">
      <alignment readingOrder="0" shrinkToFit="0" vertical="bottom" wrapText="0"/>
    </xf>
    <xf borderId="1" fillId="0" fontId="0" numFmtId="0" xfId="0" applyAlignment="1" applyBorder="1" applyFont="1">
      <alignment horizontal="right" readingOrder="0" shrinkToFit="0" vertical="bottom" wrapText="0"/>
    </xf>
    <xf borderId="1" fillId="0" fontId="0" numFmtId="4" xfId="0" applyAlignment="1" applyBorder="1" applyFont="1" applyNumberFormat="1">
      <alignment horizontal="left" readingOrder="0" shrinkToFit="0" vertical="bottom" wrapText="0"/>
    </xf>
    <xf borderId="1" fillId="0" fontId="0" numFmtId="0" xfId="0" applyAlignment="1" applyBorder="1" applyFont="1">
      <alignment shrinkToFit="0" vertical="bottom" wrapText="0"/>
    </xf>
    <xf borderId="0" fillId="0" fontId="0" numFmtId="165" xfId="0" applyAlignment="1" applyFont="1" applyNumberForma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2" fillId="0" fontId="0" numFmtId="164" xfId="0" applyAlignment="1" applyBorder="1" applyFont="1" applyNumberFormat="1">
      <alignment readingOrder="0" shrinkToFit="0" vertical="bottom" wrapText="0"/>
    </xf>
    <xf borderId="1" fillId="3" fontId="0" numFmtId="0" xfId="0" applyAlignment="1" applyBorder="1" applyFill="1" applyFont="1">
      <alignment readingOrder="0" shrinkToFit="0" vertical="bottom" wrapText="0"/>
    </xf>
    <xf borderId="1" fillId="3" fontId="0" numFmtId="49" xfId="0" applyAlignment="1" applyBorder="1" applyFont="1" applyNumberFormat="1">
      <alignment horizontal="right" readingOrder="0" shrinkToFit="0" vertical="bottom" wrapText="0"/>
    </xf>
    <xf borderId="1" fillId="3" fontId="0" numFmtId="164" xfId="0" applyAlignment="1" applyBorder="1" applyFont="1" applyNumberFormat="1">
      <alignment readingOrder="0" shrinkToFit="0" vertical="bottom" wrapText="0"/>
    </xf>
    <xf borderId="1" fillId="3" fontId="7" numFmtId="0" xfId="0" applyBorder="1" applyFont="1"/>
    <xf borderId="1" fillId="3" fontId="7" numFmtId="0" xfId="0" applyAlignment="1" applyBorder="1" applyFont="1">
      <alignment readingOrder="0"/>
    </xf>
    <xf borderId="1" fillId="3" fontId="7" numFmtId="0" xfId="0" applyAlignment="1" applyBorder="1" applyFont="1">
      <alignment horizontal="right"/>
    </xf>
    <xf borderId="1" fillId="0" fontId="7" numFmtId="0" xfId="0" applyBorder="1" applyFont="1"/>
    <xf borderId="1" fillId="3" fontId="8" numFmtId="4" xfId="0" applyAlignment="1" applyBorder="1" applyFont="1" applyNumberFormat="1">
      <alignment readingOrder="0" shrinkToFit="0" vertical="bottom" wrapText="0"/>
    </xf>
    <xf borderId="1" fillId="0" fontId="0" numFmtId="49" xfId="0" applyAlignment="1" applyBorder="1" applyFont="1" applyNumberFormat="1">
      <alignment horizontal="left" readingOrder="0" shrinkToFit="0" vertical="bottom" wrapText="0"/>
    </xf>
    <xf borderId="1" fillId="0" fontId="9" numFmtId="0" xfId="0" applyAlignment="1" applyBorder="1" applyFont="1">
      <alignment readingOrder="0" shrinkToFit="0" vertical="bottom" wrapText="0"/>
    </xf>
    <xf borderId="0" fillId="0" fontId="0" numFmtId="49" xfId="0" applyAlignment="1" applyFont="1" applyNumberFormat="1">
      <alignment horizontal="right" readingOrder="0" shrinkToFit="0" vertical="bottom" wrapText="0"/>
    </xf>
    <xf borderId="1" fillId="0" fontId="7" numFmtId="164" xfId="0" applyAlignment="1" applyBorder="1" applyFont="1" applyNumberFormat="1">
      <alignment readingOrder="0"/>
    </xf>
    <xf borderId="3" fillId="0" fontId="0" numFmtId="49" xfId="0" applyAlignment="1" applyBorder="1" applyFont="1" applyNumberFormat="1">
      <alignment horizontal="right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0" numFmtId="4" xfId="0" applyAlignment="1" applyFont="1" applyNumberFormat="1">
      <alignment readingOrder="0" shrinkToFit="0" vertical="bottom" wrapText="0"/>
    </xf>
    <xf borderId="0" fillId="0" fontId="0" numFmtId="4" xfId="0" applyAlignment="1" applyFont="1" applyNumberFormat="1">
      <alignment readingOrder="0" shrinkToFit="0" vertical="bottom" wrapText="0"/>
    </xf>
    <xf borderId="1" fillId="0" fontId="0" numFmtId="4" xfId="0" applyAlignment="1" applyBorder="1" applyFont="1" applyNumberFormat="1">
      <alignment readingOrder="0" shrinkToFit="0" vertical="bottom" wrapText="0"/>
    </xf>
    <xf borderId="1" fillId="0" fontId="0" numFmtId="0" xfId="0" applyAlignment="1" applyBorder="1" applyFont="1">
      <alignment vertical="bottom"/>
    </xf>
    <xf borderId="4" fillId="0" fontId="0" numFmtId="0" xfId="0" applyAlignment="1" applyBorder="1" applyFont="1">
      <alignment vertical="bottom"/>
    </xf>
    <xf borderId="4" fillId="0" fontId="0" numFmtId="49" xfId="0" applyAlignment="1" applyBorder="1" applyFont="1" applyNumberFormat="1">
      <alignment horizontal="right" vertical="bottom"/>
    </xf>
    <xf borderId="4" fillId="0" fontId="0" numFmtId="49" xfId="0" applyAlignment="1" applyBorder="1" applyFont="1" applyNumberFormat="1">
      <alignment horizontal="left" vertical="bottom"/>
    </xf>
    <xf borderId="1" fillId="0" fontId="0" numFmtId="49" xfId="0" applyAlignment="1" applyBorder="1" applyFont="1" applyNumberFormat="1">
      <alignment horizontal="right" vertical="bottom"/>
    </xf>
    <xf borderId="0" fillId="0" fontId="0" numFmtId="0" xfId="0" applyAlignment="1" applyFont="1">
      <alignment vertical="bottom"/>
    </xf>
    <xf borderId="0" fillId="0" fontId="0" numFmtId="164" xfId="0" applyAlignment="1" applyFont="1" applyNumberFormat="1">
      <alignment readingOrder="0" shrinkToFit="0" vertical="bottom" wrapText="0"/>
    </xf>
    <xf borderId="1" fillId="0" fontId="0" numFmtId="0" xfId="0" applyAlignment="1" applyBorder="1" applyFont="1">
      <alignment readingOrder="0" vertical="bottom"/>
    </xf>
    <xf borderId="3" fillId="0" fontId="0" numFmtId="4" xfId="0" applyAlignment="1" applyBorder="1" applyFont="1" applyNumberFormat="1">
      <alignment readingOrder="0" shrinkToFit="0" vertical="bottom" wrapText="0"/>
    </xf>
    <xf borderId="1" fillId="0" fontId="10" numFmtId="0" xfId="0" applyAlignment="1" applyBorder="1" applyFont="1">
      <alignment readingOrder="0" shrinkToFit="0" vertical="bottom" wrapText="0"/>
    </xf>
    <xf borderId="1" fillId="0" fontId="0" numFmtId="165" xfId="0" applyAlignment="1" applyBorder="1" applyFont="1" applyNumberFormat="1">
      <alignment readingOrder="0" shrinkToFit="0" vertical="bottom" wrapText="0"/>
    </xf>
    <xf borderId="1" fillId="0" fontId="0" numFmtId="0" xfId="0" applyAlignment="1" applyBorder="1" applyFont="1">
      <alignment shrinkToFit="0" wrapText="0"/>
    </xf>
    <xf borderId="1" fillId="0" fontId="11" numFmtId="0" xfId="0" applyAlignment="1" applyBorder="1" applyFont="1">
      <alignment horizontal="left" readingOrder="0" shrinkToFit="0" vertical="bottom" wrapText="0"/>
    </xf>
    <xf borderId="1" fillId="0" fontId="0" numFmtId="0" xfId="0" applyAlignment="1" applyBorder="1" applyFont="1">
      <alignment readingOrder="0" shrinkToFit="0" vertical="bottom" wrapText="0"/>
    </xf>
    <xf borderId="1" fillId="0" fontId="12" numFmtId="0" xfId="0" applyAlignment="1" applyBorder="1" applyFont="1">
      <alignment readingOrder="0" shrinkToFit="0" vertical="bottom" wrapText="0"/>
    </xf>
    <xf borderId="1" fillId="0" fontId="13" numFmtId="0" xfId="0" applyAlignment="1" applyBorder="1" applyFont="1">
      <alignment horizontal="left" readingOrder="0"/>
    </xf>
    <xf borderId="1" fillId="0" fontId="10" numFmtId="49" xfId="0" applyAlignment="1" applyBorder="1" applyFont="1" applyNumberFormat="1">
      <alignment readingOrder="0" shrinkToFit="0" vertical="bottom" wrapText="0"/>
    </xf>
    <xf borderId="4" fillId="0" fontId="10" numFmtId="0" xfId="0" applyAlignment="1" applyBorder="1" applyFont="1">
      <alignment readingOrder="0" shrinkToFit="0" vertical="bottom" wrapText="0"/>
    </xf>
    <xf borderId="4" fillId="0" fontId="0" numFmtId="49" xfId="0" applyAlignment="1" applyBorder="1" applyFont="1" applyNumberFormat="1">
      <alignment horizontal="right" readingOrder="0" shrinkToFit="0" vertical="bottom" wrapText="0"/>
    </xf>
    <xf borderId="4" fillId="0" fontId="0" numFmtId="0" xfId="0" applyAlignment="1" applyBorder="1" applyFont="1">
      <alignment readingOrder="0" shrinkToFit="0" vertical="bottom" wrapText="0"/>
    </xf>
    <xf borderId="4" fillId="0" fontId="0" numFmtId="4" xfId="0" applyAlignment="1" applyBorder="1" applyFont="1" applyNumberFormat="1">
      <alignment readingOrder="0" shrinkToFit="0" vertical="bottom" wrapText="0"/>
    </xf>
    <xf borderId="2" fillId="0" fontId="0" numFmtId="0" xfId="0" applyAlignment="1" applyBorder="1" applyFont="1">
      <alignment readingOrder="0" shrinkToFit="0" vertical="bottom" wrapText="0"/>
    </xf>
    <xf borderId="2" fillId="0" fontId="12" numFmtId="0" xfId="0" applyAlignment="1" applyBorder="1" applyFont="1">
      <alignment readingOrder="0" shrinkToFit="0" vertical="bottom" wrapText="0"/>
    </xf>
    <xf borderId="4" fillId="0" fontId="0" numFmtId="0" xfId="0" applyAlignment="1" applyBorder="1" applyFont="1">
      <alignment horizontal="left" readingOrder="0" shrinkToFit="0" vertical="bottom" wrapText="0"/>
    </xf>
    <xf borderId="2" fillId="0" fontId="0" numFmtId="0" xfId="0" applyAlignment="1" applyBorder="1" applyFont="1">
      <alignment readingOrder="0" vertical="bottom"/>
    </xf>
    <xf borderId="3" fillId="0" fontId="0" numFmtId="0" xfId="0" applyAlignment="1" applyBorder="1" applyFont="1">
      <alignment readingOrder="0" vertical="bottom"/>
    </xf>
    <xf borderId="4" fillId="0" fontId="10" numFmtId="49" xfId="0" applyAlignment="1" applyBorder="1" applyFont="1" applyNumberFormat="1">
      <alignment horizontal="right" readingOrder="0" shrinkToFit="0" vertical="bottom" wrapText="0"/>
    </xf>
    <xf borderId="4" fillId="0" fontId="0" numFmtId="0" xfId="0" applyAlignment="1" applyBorder="1" applyFont="1">
      <alignment readingOrder="0" vertical="bottom"/>
    </xf>
    <xf borderId="3" fillId="0" fontId="14" numFmtId="0" xfId="0" applyAlignment="1" applyBorder="1" applyFont="1">
      <alignment readingOrder="0" shrinkToFit="0" vertical="bottom" wrapText="0"/>
    </xf>
    <xf borderId="1" fillId="0" fontId="0" numFmtId="165" xfId="0" applyAlignment="1" applyBorder="1" applyFont="1" applyNumberFormat="1">
      <alignment readingOrder="0" vertical="bottom"/>
    </xf>
    <xf borderId="4" fillId="0" fontId="0" numFmtId="4" xfId="0" applyAlignment="1" applyBorder="1" applyFont="1" applyNumberFormat="1">
      <alignment horizontal="right" readingOrder="0" shrinkToFit="0" vertical="bottom" wrapText="0"/>
    </xf>
    <xf borderId="0" fillId="0" fontId="7" numFmtId="0" xfId="0" applyAlignment="1" applyFont="1">
      <alignment horizontal="right" readingOrder="0"/>
    </xf>
    <xf borderId="0" fillId="0" fontId="15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usrc.it/AppRendiConta/det.420_20200603.pdf" TargetMode="External"/><Relationship Id="rId42" Type="http://schemas.openxmlformats.org/officeDocument/2006/relationships/hyperlink" Target="http://www.usrc.it/AppRendiConta/det.436_20200610.pdf" TargetMode="External"/><Relationship Id="rId41" Type="http://schemas.openxmlformats.org/officeDocument/2006/relationships/hyperlink" Target="http://www.usrc.it/AppRendiConta/det.431_20200609.pdf" TargetMode="External"/><Relationship Id="rId44" Type="http://schemas.openxmlformats.org/officeDocument/2006/relationships/hyperlink" Target="http://www.usrc.it/AppRendiConta/det.463_20200617.pdf" TargetMode="External"/><Relationship Id="rId43" Type="http://schemas.openxmlformats.org/officeDocument/2006/relationships/hyperlink" Target="http://www.usrc.it/AppRendiConta/det.462_20200617.pdf" TargetMode="External"/><Relationship Id="rId46" Type="http://schemas.openxmlformats.org/officeDocument/2006/relationships/hyperlink" Target="http://www.usrc.it/AppRendiConta/det.465_20200617.pdf" TargetMode="External"/><Relationship Id="rId45" Type="http://schemas.openxmlformats.org/officeDocument/2006/relationships/hyperlink" Target="http://www.usrc.it/AppRendiConta/det.464_20200617.pdf" TargetMode="External"/><Relationship Id="rId107" Type="http://schemas.openxmlformats.org/officeDocument/2006/relationships/hyperlink" Target="http://www.usrc.it/AppRendiConta/det.45_20210126.pdf" TargetMode="External"/><Relationship Id="rId106" Type="http://schemas.openxmlformats.org/officeDocument/2006/relationships/hyperlink" Target="http://www.usrc.it/AppRendiConta/det.37_20210121.pdf" TargetMode="External"/><Relationship Id="rId105" Type="http://schemas.openxmlformats.org/officeDocument/2006/relationships/hyperlink" Target="http://www.usrc.it/AppRendiConta/det.36_20210121.pdf" TargetMode="External"/><Relationship Id="rId104" Type="http://schemas.openxmlformats.org/officeDocument/2006/relationships/hyperlink" Target="http://www.usrc.it/AppRendiConta/det.33_20210120.pdf" TargetMode="External"/><Relationship Id="rId109" Type="http://schemas.openxmlformats.org/officeDocument/2006/relationships/hyperlink" Target="http://www.usrc.it/AppRendiConta/det.47_20210126.pdf" TargetMode="External"/><Relationship Id="rId108" Type="http://schemas.openxmlformats.org/officeDocument/2006/relationships/hyperlink" Target="http://www.usrc.it/AppRendiConta/det.46_20210126.pdf" TargetMode="External"/><Relationship Id="rId48" Type="http://schemas.openxmlformats.org/officeDocument/2006/relationships/hyperlink" Target="http://informatica.net" TargetMode="External"/><Relationship Id="rId47" Type="http://schemas.openxmlformats.org/officeDocument/2006/relationships/hyperlink" Target="http://www.usrc.it/AppRendiConta/det.503_20200630.pdf" TargetMode="External"/><Relationship Id="rId49" Type="http://schemas.openxmlformats.org/officeDocument/2006/relationships/hyperlink" Target="http://www.usrc.it/AppRendiConta/det.504_20200630.pdf" TargetMode="External"/><Relationship Id="rId103" Type="http://schemas.openxmlformats.org/officeDocument/2006/relationships/hyperlink" Target="http://www.usrc.it/AppRendiConta/det.32_20210120.pdf" TargetMode="External"/><Relationship Id="rId102" Type="http://schemas.openxmlformats.org/officeDocument/2006/relationships/hyperlink" Target="http://www.usrc.it/AppRendiConta/det.31_202101120.pdf" TargetMode="External"/><Relationship Id="rId101" Type="http://schemas.openxmlformats.org/officeDocument/2006/relationships/hyperlink" Target="http://www.usrc.it/AppRendiConta/det.30_20210120.pdf" TargetMode="External"/><Relationship Id="rId100" Type="http://schemas.openxmlformats.org/officeDocument/2006/relationships/hyperlink" Target="http://www.usrc.it/AppRendiConta/det.20_20210119.pdf" TargetMode="External"/><Relationship Id="rId31" Type="http://schemas.openxmlformats.org/officeDocument/2006/relationships/hyperlink" Target="http://www.usrc.it/AppRendiConta/det.397_20200525.pdf" TargetMode="External"/><Relationship Id="rId30" Type="http://schemas.openxmlformats.org/officeDocument/2006/relationships/hyperlink" Target="http://www.usrc.it/AppRendiConta/det.349_20200511.pdf" TargetMode="External"/><Relationship Id="rId33" Type="http://schemas.openxmlformats.org/officeDocument/2006/relationships/hyperlink" Target="http://www.usrc.it/AppRendiConta/det.399_20200525.pdf" TargetMode="External"/><Relationship Id="rId32" Type="http://schemas.openxmlformats.org/officeDocument/2006/relationships/hyperlink" Target="http://www.usrc.it/AppRendiConta/det.398_20200525.pdf" TargetMode="External"/><Relationship Id="rId35" Type="http://schemas.openxmlformats.org/officeDocument/2006/relationships/hyperlink" Target="http://www.usrc.it/AppRendiConta/det.401_20200526.pdf" TargetMode="External"/><Relationship Id="rId34" Type="http://schemas.openxmlformats.org/officeDocument/2006/relationships/hyperlink" Target="http://www.usrc.it/AppRendiConta/det.400_20200525.pdf" TargetMode="External"/><Relationship Id="rId37" Type="http://schemas.openxmlformats.org/officeDocument/2006/relationships/hyperlink" Target="http://www.usrc.it/AppRendiConta/det.403_202005127.pdf" TargetMode="External"/><Relationship Id="rId36" Type="http://schemas.openxmlformats.org/officeDocument/2006/relationships/hyperlink" Target="http://www.usrc.it/AppRendiConta/det.402_20200526.pdf" TargetMode="External"/><Relationship Id="rId39" Type="http://schemas.openxmlformats.org/officeDocument/2006/relationships/hyperlink" Target="http://www.usrc.it/AppRendiConta/det.416_20200601.pdf" TargetMode="External"/><Relationship Id="rId38" Type="http://schemas.openxmlformats.org/officeDocument/2006/relationships/hyperlink" Target="http://www.usrc.it/AppRendiConta/det.404_20200527.pdf" TargetMode="External"/><Relationship Id="rId20" Type="http://schemas.openxmlformats.org/officeDocument/2006/relationships/hyperlink" Target="http://www.usrc.it/AppRendiConta/Det_4_20130318.PDF" TargetMode="External"/><Relationship Id="rId22" Type="http://schemas.openxmlformats.org/officeDocument/2006/relationships/hyperlink" Target="http://www.usrc.it/AppRendiConta/Det_2_20130301.pdf" TargetMode="External"/><Relationship Id="rId21" Type="http://schemas.openxmlformats.org/officeDocument/2006/relationships/hyperlink" Target="http://www.usrc.it/AppRendiConta/Det_4_20130318.PDF" TargetMode="External"/><Relationship Id="rId24" Type="http://schemas.openxmlformats.org/officeDocument/2006/relationships/hyperlink" Target="http://www.usrc.it/AppRendiConta/det_93_20130913.pdf" TargetMode="External"/><Relationship Id="rId23" Type="http://schemas.openxmlformats.org/officeDocument/2006/relationships/hyperlink" Target="http://www.usrc.it/AppRendiConta/Det_2_20130301Contratto%20Rete%20Info%20Determinazione%202.pdf" TargetMode="External"/><Relationship Id="rId129" Type="http://schemas.openxmlformats.org/officeDocument/2006/relationships/hyperlink" Target="http://www.usrc.it/AppRendiConta/det.192_20210312.pdf" TargetMode="External"/><Relationship Id="rId128" Type="http://schemas.openxmlformats.org/officeDocument/2006/relationships/hyperlink" Target="http://www.usrc.it/AppRendiConta/det.187_20210309.pdf" TargetMode="External"/><Relationship Id="rId127" Type="http://schemas.openxmlformats.org/officeDocument/2006/relationships/hyperlink" Target="http://www.usrc.it/AppRendiConta/det.186_20210309.pdf" TargetMode="External"/><Relationship Id="rId126" Type="http://schemas.openxmlformats.org/officeDocument/2006/relationships/hyperlink" Target="http://www.usrc.it/AppRendiConta/det.173_20210305.pdf" TargetMode="External"/><Relationship Id="rId26" Type="http://schemas.openxmlformats.org/officeDocument/2006/relationships/hyperlink" Target="http://www.usrc.it/AppRendiConta/Rep_n1_10%20gennaio_2014%20Universita%20Federico_II_di%20Napoli.pdf" TargetMode="External"/><Relationship Id="rId121" Type="http://schemas.openxmlformats.org/officeDocument/2006/relationships/hyperlink" Target="http://www.usrc.it/AppRendiConta/det.141_20210262.pdf" TargetMode="External"/><Relationship Id="rId25" Type="http://schemas.openxmlformats.org/officeDocument/2006/relationships/hyperlink" Target="http://www.usrc.it/AppRendiConta/Rep_6_20131219.pdf" TargetMode="External"/><Relationship Id="rId120" Type="http://schemas.openxmlformats.org/officeDocument/2006/relationships/hyperlink" Target="http://www.usrc.it/AppRendiConta/det.140_20210262.pdf" TargetMode="External"/><Relationship Id="rId28" Type="http://schemas.openxmlformats.org/officeDocument/2006/relationships/hyperlink" Target="http://www.usrc.it/AppRendiConta/det.337_20200507.pdf" TargetMode="External"/><Relationship Id="rId27" Type="http://schemas.openxmlformats.org/officeDocument/2006/relationships/hyperlink" Target="http://www.usrc.it/AppRendiConta/Rep_n_3_20%20gennaio_2014%20CNR.pdf" TargetMode="External"/><Relationship Id="rId125" Type="http://schemas.openxmlformats.org/officeDocument/2006/relationships/hyperlink" Target="http://www.usrc.it/AppRendiConta/det.164_20210303.pdf" TargetMode="External"/><Relationship Id="rId29" Type="http://schemas.openxmlformats.org/officeDocument/2006/relationships/hyperlink" Target="http://www.usrc.it/AppRendiConta/det.348_20200511.pdf" TargetMode="External"/><Relationship Id="rId124" Type="http://schemas.openxmlformats.org/officeDocument/2006/relationships/hyperlink" Target="http://www.usrc.it/AppRendiConta/det.163_20210303.pdf" TargetMode="External"/><Relationship Id="rId123" Type="http://schemas.openxmlformats.org/officeDocument/2006/relationships/hyperlink" Target="http://www.usrc.it/AppRendiConta/det.162_20210303.pdf" TargetMode="External"/><Relationship Id="rId122" Type="http://schemas.openxmlformats.org/officeDocument/2006/relationships/hyperlink" Target="http://www.usrc.it/AppRendiConta/det.142_20210262.pdf" TargetMode="External"/><Relationship Id="rId95" Type="http://schemas.openxmlformats.org/officeDocument/2006/relationships/hyperlink" Target="http://www.usrc.it/AppRendiConta/det.7_20210114.pdf" TargetMode="External"/><Relationship Id="rId94" Type="http://schemas.openxmlformats.org/officeDocument/2006/relationships/hyperlink" Target="http://www.usrc.it/AppRendiConta/det.6_20210112.pdf" TargetMode="External"/><Relationship Id="rId97" Type="http://schemas.openxmlformats.org/officeDocument/2006/relationships/hyperlink" Target="http://www.usrc.it/AppRendiConta/det.17_20210119.pdf" TargetMode="External"/><Relationship Id="rId96" Type="http://schemas.openxmlformats.org/officeDocument/2006/relationships/hyperlink" Target="http://www.usrc.it/AppRendiConta/det.8_20210114.pdf" TargetMode="External"/><Relationship Id="rId11" Type="http://schemas.openxmlformats.org/officeDocument/2006/relationships/hyperlink" Target="http://www.usrc.it/AppRendiConta/det_53_20130718.PDF" TargetMode="External"/><Relationship Id="rId99" Type="http://schemas.openxmlformats.org/officeDocument/2006/relationships/hyperlink" Target="http://www.usrc.it/AppRendiConta/det.19_20210119.pdf" TargetMode="External"/><Relationship Id="rId10" Type="http://schemas.openxmlformats.org/officeDocument/2006/relationships/hyperlink" Target="http://www.usrc.it/AppRendiConta/Det_58_20130801.pdf" TargetMode="External"/><Relationship Id="rId98" Type="http://schemas.openxmlformats.org/officeDocument/2006/relationships/hyperlink" Target="http://www.usrc.it/AppRendiConta/det.18_20210119.pdf" TargetMode="External"/><Relationship Id="rId13" Type="http://schemas.openxmlformats.org/officeDocument/2006/relationships/hyperlink" Target="http://www.usrc.it/AppRendiConta/DET_30_20130606.PDF" TargetMode="External"/><Relationship Id="rId12" Type="http://schemas.openxmlformats.org/officeDocument/2006/relationships/hyperlink" Target="http://www.usrc.it/AppRendiConta/det_39_20130613.pdf" TargetMode="External"/><Relationship Id="rId91" Type="http://schemas.openxmlformats.org/officeDocument/2006/relationships/hyperlink" Target="http://www.usrc.it/AppRendiConta/det.1043_20201219.pdf" TargetMode="External"/><Relationship Id="rId90" Type="http://schemas.openxmlformats.org/officeDocument/2006/relationships/hyperlink" Target="http://www.usrc.it/AppRendiConta/det.1042_20201219.pdf" TargetMode="External"/><Relationship Id="rId93" Type="http://schemas.openxmlformats.org/officeDocument/2006/relationships/hyperlink" Target="http://www.usrc.it/AppRendiConta/det.5_20210112.pdf" TargetMode="External"/><Relationship Id="rId92" Type="http://schemas.openxmlformats.org/officeDocument/2006/relationships/hyperlink" Target="http://www.usrc.it/AppRendiConta/det.1057_20201222.pdf" TargetMode="External"/><Relationship Id="rId118" Type="http://schemas.openxmlformats.org/officeDocument/2006/relationships/hyperlink" Target="http://www.usrc.it/AppRendiConta/det.138_20210226.pdf" TargetMode="External"/><Relationship Id="rId117" Type="http://schemas.openxmlformats.org/officeDocument/2006/relationships/hyperlink" Target="http://www.usrc.it/AppRendiConta/det.116_20210222.pdf" TargetMode="External"/><Relationship Id="rId116" Type="http://schemas.openxmlformats.org/officeDocument/2006/relationships/hyperlink" Target="http://www.usrc.it/AppRendiConta/det.115_20210222.pdf" TargetMode="External"/><Relationship Id="rId115" Type="http://schemas.openxmlformats.org/officeDocument/2006/relationships/hyperlink" Target="http://www.usrc.it/AppRendiConta/det.114_20210222.pdf" TargetMode="External"/><Relationship Id="rId119" Type="http://schemas.openxmlformats.org/officeDocument/2006/relationships/hyperlink" Target="http://www.usrc.it/AppRendiConta/det.139_20210262.pdf" TargetMode="External"/><Relationship Id="rId15" Type="http://schemas.openxmlformats.org/officeDocument/2006/relationships/hyperlink" Target="http://www.usrc.it/AppRendiConta/DET_30_20130606.PDF" TargetMode="External"/><Relationship Id="rId110" Type="http://schemas.openxmlformats.org/officeDocument/2006/relationships/hyperlink" Target="http://www.usrc.it/AppRendiConta/det.48_20210126.pdf" TargetMode="External"/><Relationship Id="rId14" Type="http://schemas.openxmlformats.org/officeDocument/2006/relationships/hyperlink" Target="http://www.usrc.it/AppRendiConta/det_94_20130913.PDF" TargetMode="External"/><Relationship Id="rId17" Type="http://schemas.openxmlformats.org/officeDocument/2006/relationships/hyperlink" Target="http://www.usrc.it/AppRendiConta/Det_26_20130530.PDF" TargetMode="External"/><Relationship Id="rId16" Type="http://schemas.openxmlformats.org/officeDocument/2006/relationships/hyperlink" Target="http://www.usrc.it/AppRendiConta/Det_26_20130530.PDF" TargetMode="External"/><Relationship Id="rId19" Type="http://schemas.openxmlformats.org/officeDocument/2006/relationships/hyperlink" Target="http://www.usrc.it/AppRendiConta/Det_14_20130509.PDF" TargetMode="External"/><Relationship Id="rId114" Type="http://schemas.openxmlformats.org/officeDocument/2006/relationships/hyperlink" Target="http://www.usrc.it/AppRendiConta/det.113_20210222.pdf" TargetMode="External"/><Relationship Id="rId18" Type="http://schemas.openxmlformats.org/officeDocument/2006/relationships/hyperlink" Target="http://www.usrc.it/AppRendiConta/Det_15_20130509.PDF" TargetMode="External"/><Relationship Id="rId113" Type="http://schemas.openxmlformats.org/officeDocument/2006/relationships/hyperlink" Target="http://www.usrc.it/AppRendiConta/det.73_20210205.pdf" TargetMode="External"/><Relationship Id="rId112" Type="http://schemas.openxmlformats.org/officeDocument/2006/relationships/hyperlink" Target="http://www.usrc.it/AppRendiConta/det.69_20210202.pdf" TargetMode="External"/><Relationship Id="rId111" Type="http://schemas.openxmlformats.org/officeDocument/2006/relationships/hyperlink" Target="http://www.usrc.it/AppRendiConta/det.49_20210126.pdf" TargetMode="External"/><Relationship Id="rId84" Type="http://schemas.openxmlformats.org/officeDocument/2006/relationships/hyperlink" Target="http://www.usrc.it/AppRendiConta/det.947_20201130.pdf" TargetMode="External"/><Relationship Id="rId83" Type="http://schemas.openxmlformats.org/officeDocument/2006/relationships/hyperlink" Target="http://www.usrc.it/AppRendiConta/det.942_20201126.pdf" TargetMode="External"/><Relationship Id="rId86" Type="http://schemas.openxmlformats.org/officeDocument/2006/relationships/hyperlink" Target="http://www.usrc.it/AppRendiConta/det.1016_20201214.pdf" TargetMode="External"/><Relationship Id="rId85" Type="http://schemas.openxmlformats.org/officeDocument/2006/relationships/hyperlink" Target="http://www.usrc.it/AppRendiConta/det.1015_20201203.pdf" TargetMode="External"/><Relationship Id="rId88" Type="http://schemas.openxmlformats.org/officeDocument/2006/relationships/hyperlink" Target="http://www.usrc.it/AppRendiConta/det.1023_20201216.pdf" TargetMode="External"/><Relationship Id="rId150" Type="http://schemas.openxmlformats.org/officeDocument/2006/relationships/hyperlink" Target="http://www.usrc.it/AppRendiConta/det.315_20210423.pdf" TargetMode="External"/><Relationship Id="rId87" Type="http://schemas.openxmlformats.org/officeDocument/2006/relationships/hyperlink" Target="http://www.usrc.it/AppRendiConta/det.1017_20201214.pdf" TargetMode="External"/><Relationship Id="rId89" Type="http://schemas.openxmlformats.org/officeDocument/2006/relationships/hyperlink" Target="http://www.usrc.it/AppRendiConta/det.1035_20201218.pdf" TargetMode="External"/><Relationship Id="rId80" Type="http://schemas.openxmlformats.org/officeDocument/2006/relationships/hyperlink" Target="http://www.usrc.it/AppRendiConta/det.855_20201110.pdf" TargetMode="External"/><Relationship Id="rId82" Type="http://schemas.openxmlformats.org/officeDocument/2006/relationships/hyperlink" Target="http://www.usrc.it/AppRendiConta/det.855_20201110.pdf" TargetMode="External"/><Relationship Id="rId81" Type="http://schemas.openxmlformats.org/officeDocument/2006/relationships/hyperlink" Target="http://www.usrc.it/AppRendiConta/det.871_20201117.pdf" TargetMode="External"/><Relationship Id="rId1" Type="http://schemas.openxmlformats.org/officeDocument/2006/relationships/hyperlink" Target="http://www.usrc.it/AppRendiConta/det_108_20131003.pdf" TargetMode="External"/><Relationship Id="rId2" Type="http://schemas.openxmlformats.org/officeDocument/2006/relationships/hyperlink" Target="http://www.usrc.it/AppRendiConta/Det_121_20131021.pdf" TargetMode="External"/><Relationship Id="rId3" Type="http://schemas.openxmlformats.org/officeDocument/2006/relationships/hyperlink" Target="http://www.usrc.it/AppRendiConta/Det_8_20131001.pdf" TargetMode="External"/><Relationship Id="rId149" Type="http://schemas.openxmlformats.org/officeDocument/2006/relationships/hyperlink" Target="http://www.usrc.it/AppRendiConta/det.304_20210416.pdf" TargetMode="External"/><Relationship Id="rId4" Type="http://schemas.openxmlformats.org/officeDocument/2006/relationships/hyperlink" Target="http://www.usrc.it/AppRendiConta/det_94_20130913.PDF" TargetMode="External"/><Relationship Id="rId148" Type="http://schemas.openxmlformats.org/officeDocument/2006/relationships/hyperlink" Target="http://www.usrc.it/AppRendiConta/det.300_20210415.pdf" TargetMode="External"/><Relationship Id="rId9" Type="http://schemas.openxmlformats.org/officeDocument/2006/relationships/hyperlink" Target="http://www.usrc.it/AppRendiConta/det_63_20130808.pdf" TargetMode="External"/><Relationship Id="rId143" Type="http://schemas.openxmlformats.org/officeDocument/2006/relationships/hyperlink" Target="http://www.usrc.it/AppRendiConta/det.282_20210409.pdf" TargetMode="External"/><Relationship Id="rId142" Type="http://schemas.openxmlformats.org/officeDocument/2006/relationships/hyperlink" Target="http://www.usrc.it/AppRendiConta/det.281_20210409.pdf" TargetMode="External"/><Relationship Id="rId141" Type="http://schemas.openxmlformats.org/officeDocument/2006/relationships/hyperlink" Target="http://www.usrc.it/AppRendiConta/det.280_20210409.pdf" TargetMode="External"/><Relationship Id="rId140" Type="http://schemas.openxmlformats.org/officeDocument/2006/relationships/hyperlink" Target="http://www.usrc.it/AppRendiConta/det.278_20210408.pdf" TargetMode="External"/><Relationship Id="rId5" Type="http://schemas.openxmlformats.org/officeDocument/2006/relationships/hyperlink" Target="http://www.usrc.it/AppRendiConta/det_94_20130913.PDF" TargetMode="External"/><Relationship Id="rId147" Type="http://schemas.openxmlformats.org/officeDocument/2006/relationships/hyperlink" Target="http://www.usrc.it/AppRendiConta/det.299_20210415.pdf" TargetMode="External"/><Relationship Id="rId6" Type="http://schemas.openxmlformats.org/officeDocument/2006/relationships/hyperlink" Target="http://www.usrc.it/AppRendiConta/det_89_20130911.pdf" TargetMode="External"/><Relationship Id="rId146" Type="http://schemas.openxmlformats.org/officeDocument/2006/relationships/hyperlink" Target="http://www.usrc.it/AppRendiConta/det.298_20210415.pdf" TargetMode="External"/><Relationship Id="rId7" Type="http://schemas.openxmlformats.org/officeDocument/2006/relationships/hyperlink" Target="http://www.usrc.it/AppRendiConta/det_86_20130906.pdf" TargetMode="External"/><Relationship Id="rId145" Type="http://schemas.openxmlformats.org/officeDocument/2006/relationships/hyperlink" Target="http://www.usrc.it/AppRendiConta/det.284_20210409.pdf" TargetMode="External"/><Relationship Id="rId8" Type="http://schemas.openxmlformats.org/officeDocument/2006/relationships/hyperlink" Target="http://www.usrc.it/AppRendiConta/det_72_20130819.pdf" TargetMode="External"/><Relationship Id="rId144" Type="http://schemas.openxmlformats.org/officeDocument/2006/relationships/hyperlink" Target="http://www.usrc.it/AppRendiConta/det.283_20210409.pdf" TargetMode="External"/><Relationship Id="rId73" Type="http://schemas.openxmlformats.org/officeDocument/2006/relationships/hyperlink" Target="http://www.usrc.it/AppRendiConta/det.710_20200917.pdf" TargetMode="External"/><Relationship Id="rId72" Type="http://schemas.openxmlformats.org/officeDocument/2006/relationships/hyperlink" Target="http://www.usrc.it/AppRendiConta/det.709_20200917.pdf" TargetMode="External"/><Relationship Id="rId75" Type="http://schemas.openxmlformats.org/officeDocument/2006/relationships/hyperlink" Target="http://www.usrc.it/AppRendiConta/det.748_20201002.pdf" TargetMode="External"/><Relationship Id="rId74" Type="http://schemas.openxmlformats.org/officeDocument/2006/relationships/hyperlink" Target="http://www.usrc.it/AppRendiConta/det.711_20200917.pdf" TargetMode="External"/><Relationship Id="rId77" Type="http://schemas.openxmlformats.org/officeDocument/2006/relationships/hyperlink" Target="http://www.usrc.it/AppRendiConta/det.750_20201002.pdf" TargetMode="External"/><Relationship Id="rId76" Type="http://schemas.openxmlformats.org/officeDocument/2006/relationships/hyperlink" Target="http://www.usrc.it/AppRendiConta/det.749_20201002.pdf" TargetMode="External"/><Relationship Id="rId79" Type="http://schemas.openxmlformats.org/officeDocument/2006/relationships/hyperlink" Target="http://www.usrc.it/AppRendiConta/det.795_20201022.pdf" TargetMode="External"/><Relationship Id="rId78" Type="http://schemas.openxmlformats.org/officeDocument/2006/relationships/hyperlink" Target="http://www.usrc.it/AppRendiConta/det.794_20201022.pdf" TargetMode="External"/><Relationship Id="rId71" Type="http://schemas.openxmlformats.org/officeDocument/2006/relationships/hyperlink" Target="http://www.usrc.it/AppRendiConta/det.708_20200917.pdf" TargetMode="External"/><Relationship Id="rId70" Type="http://schemas.openxmlformats.org/officeDocument/2006/relationships/hyperlink" Target="http://www.usrc.it/AppRendiConta/det.707_20200917.pdf" TargetMode="External"/><Relationship Id="rId139" Type="http://schemas.openxmlformats.org/officeDocument/2006/relationships/hyperlink" Target="http://www.usrc.it/AppRendiConta/det.277_20210408.pdf" TargetMode="External"/><Relationship Id="rId138" Type="http://schemas.openxmlformats.org/officeDocument/2006/relationships/hyperlink" Target="http://www.usrc.it/AppRendiConta/det.271_20210401.pdf" TargetMode="External"/><Relationship Id="rId137" Type="http://schemas.openxmlformats.org/officeDocument/2006/relationships/hyperlink" Target="http://www.usrc.it/AppRendiConta/det.236_20210325.pdf" TargetMode="External"/><Relationship Id="rId132" Type="http://schemas.openxmlformats.org/officeDocument/2006/relationships/hyperlink" Target="http://www.usrc.it/AppRendiConta/det.195_20210312.pdf" TargetMode="External"/><Relationship Id="rId131" Type="http://schemas.openxmlformats.org/officeDocument/2006/relationships/hyperlink" Target="http://www.usrc.it/AppRendiConta/det.19420210312.pdf" TargetMode="External"/><Relationship Id="rId130" Type="http://schemas.openxmlformats.org/officeDocument/2006/relationships/hyperlink" Target="http://www.usrc.it/AppRendiConta/det.193_20210313.pdf" TargetMode="External"/><Relationship Id="rId136" Type="http://schemas.openxmlformats.org/officeDocument/2006/relationships/hyperlink" Target="http://www.usrc.it/AppRendiConta/det.235_20210325.pdf" TargetMode="External"/><Relationship Id="rId135" Type="http://schemas.openxmlformats.org/officeDocument/2006/relationships/hyperlink" Target="http://www.usrc.it/AppRendiConta/det.213_20210319.pdf" TargetMode="External"/><Relationship Id="rId134" Type="http://schemas.openxmlformats.org/officeDocument/2006/relationships/hyperlink" Target="http://www.usrc.it/AppRendiConta/det.212_20210319.pdf" TargetMode="External"/><Relationship Id="rId133" Type="http://schemas.openxmlformats.org/officeDocument/2006/relationships/hyperlink" Target="http://www.usrc.it/AppRendiConta/det.196_20210312.pdf" TargetMode="External"/><Relationship Id="rId62" Type="http://schemas.openxmlformats.org/officeDocument/2006/relationships/hyperlink" Target="http://www.usrc.it/AppRendiConta/det.652_20200831.pdf" TargetMode="External"/><Relationship Id="rId61" Type="http://schemas.openxmlformats.org/officeDocument/2006/relationships/hyperlink" Target="http://www.usrc.it/AppRendiConta/det.651_20200831.pdf" TargetMode="External"/><Relationship Id="rId64" Type="http://schemas.openxmlformats.org/officeDocument/2006/relationships/hyperlink" Target="http://www.usrc.it/AppRendiConta/det.670_20200903.pdf" TargetMode="External"/><Relationship Id="rId63" Type="http://schemas.openxmlformats.org/officeDocument/2006/relationships/hyperlink" Target="http://www.usrc.it/AppRendiConta/det.653_20200831.pdf" TargetMode="External"/><Relationship Id="rId66" Type="http://schemas.openxmlformats.org/officeDocument/2006/relationships/hyperlink" Target="http://www.usrc.it/AppRendiConta/det.703_20200917.pdf" TargetMode="External"/><Relationship Id="rId65" Type="http://schemas.openxmlformats.org/officeDocument/2006/relationships/hyperlink" Target="http://www.usrc.it/AppRendiConta/det.702_20200917.pdf" TargetMode="External"/><Relationship Id="rId68" Type="http://schemas.openxmlformats.org/officeDocument/2006/relationships/hyperlink" Target="http://www.usrc.it/AppRendiConta/det.705_20200917.pdf" TargetMode="External"/><Relationship Id="rId67" Type="http://schemas.openxmlformats.org/officeDocument/2006/relationships/hyperlink" Target="http://www.usrc.it/AppRendiConta/det.704_20200917.pdf" TargetMode="External"/><Relationship Id="rId60" Type="http://schemas.openxmlformats.org/officeDocument/2006/relationships/hyperlink" Target="http://www.usrc.it/AppRendiConta/det.650_20200831.pdf" TargetMode="External"/><Relationship Id="rId69" Type="http://schemas.openxmlformats.org/officeDocument/2006/relationships/hyperlink" Target="http://www.usrc.it/AppRendiConta/det.706_20200917.pdf" TargetMode="External"/><Relationship Id="rId51" Type="http://schemas.openxmlformats.org/officeDocument/2006/relationships/hyperlink" Target="http://www.usrc.it/AppRendiConta/det.506_20200630.pdf" TargetMode="External"/><Relationship Id="rId50" Type="http://schemas.openxmlformats.org/officeDocument/2006/relationships/hyperlink" Target="http://www.usrc.it/AppRendiConta/det.505_20200630.pdf" TargetMode="External"/><Relationship Id="rId53" Type="http://schemas.openxmlformats.org/officeDocument/2006/relationships/hyperlink" Target="http://www.usrc.it/AppRendiConta/det.548_20200715.pdf" TargetMode="External"/><Relationship Id="rId52" Type="http://schemas.openxmlformats.org/officeDocument/2006/relationships/hyperlink" Target="http://www.usrc.it/AppRendiConta/det.547_20200715.pdf" TargetMode="External"/><Relationship Id="rId55" Type="http://schemas.openxmlformats.org/officeDocument/2006/relationships/hyperlink" Target="http://www.usrc.it/AppRendiConta/det.562_20200716.pdf" TargetMode="External"/><Relationship Id="rId54" Type="http://schemas.openxmlformats.org/officeDocument/2006/relationships/hyperlink" Target="http://www.usrc.it/AppRendiConta/det.549_20200715.pdf" TargetMode="External"/><Relationship Id="rId57" Type="http://schemas.openxmlformats.org/officeDocument/2006/relationships/hyperlink" Target="http://www.usrc.it/AppRendiConta/det.647_20200831.pdf" TargetMode="External"/><Relationship Id="rId56" Type="http://schemas.openxmlformats.org/officeDocument/2006/relationships/hyperlink" Target="http://www.usrc.it/AppRendiConta/det.646_20200831.pdf" TargetMode="External"/><Relationship Id="rId59" Type="http://schemas.openxmlformats.org/officeDocument/2006/relationships/hyperlink" Target="http://www.usrc.it/AppRendiConta/det.649_20200831.pdf" TargetMode="External"/><Relationship Id="rId58" Type="http://schemas.openxmlformats.org/officeDocument/2006/relationships/hyperlink" Target="http://www.usrc.it/AppRendiConta/det.648_20200831.pdf" TargetMode="External"/><Relationship Id="rId153" Type="http://schemas.openxmlformats.org/officeDocument/2006/relationships/drawing" Target="../drawings/drawing1.xml"/><Relationship Id="rId152" Type="http://schemas.openxmlformats.org/officeDocument/2006/relationships/hyperlink" Target="http://www.usrc.it/AppRendiConta/det.317_20210423.pdf" TargetMode="External"/><Relationship Id="rId151" Type="http://schemas.openxmlformats.org/officeDocument/2006/relationships/hyperlink" Target="http://www.usrc.it/AppRendiConta/det.316_20210423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66.86"/>
    <col customWidth="1" min="2" max="2" width="61.29"/>
    <col customWidth="1" min="3" max="3" width="26.86"/>
    <col customWidth="1" min="4" max="4" width="20.86"/>
    <col customWidth="1" min="5" max="5" width="20.43"/>
    <col customWidth="1" min="6" max="6" width="37.14"/>
    <col customWidth="1" min="7" max="7" width="11.86"/>
    <col customWidth="1" min="8" max="8" width="42.71"/>
    <col customWidth="1" min="9" max="9" width="52.0"/>
    <col customWidth="1" min="10" max="22" width="35.14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>
      <c r="A2" s="7" t="s">
        <v>11</v>
      </c>
      <c r="B2" s="7" t="s">
        <v>12</v>
      </c>
      <c r="C2" s="8" t="s">
        <v>13</v>
      </c>
      <c r="D2" s="9" t="s">
        <v>14</v>
      </c>
      <c r="E2" s="10">
        <v>19656.0</v>
      </c>
      <c r="F2" s="7" t="s">
        <v>15</v>
      </c>
      <c r="G2" s="7" t="s">
        <v>16</v>
      </c>
      <c r="H2" s="11" t="s">
        <v>17</v>
      </c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>
      <c r="A3" s="7" t="s">
        <v>18</v>
      </c>
      <c r="B3" s="7" t="s">
        <v>19</v>
      </c>
      <c r="C3" s="8" t="s">
        <v>20</v>
      </c>
      <c r="D3" s="9" t="s">
        <v>21</v>
      </c>
      <c r="E3" s="10">
        <v>4598.0</v>
      </c>
      <c r="F3" s="7" t="s">
        <v>22</v>
      </c>
      <c r="G3" s="7" t="s">
        <v>23</v>
      </c>
      <c r="H3" s="11" t="str">
        <f>HYPERLINK("http://www.usrc.it/images/Documenti/Determinazione%20congiunta%20n.%206.pdf","Determinazione USRC/USRA n 6 del 2013.pdf")</f>
        <v>Determinazione USRC/USRA n 6 del 2013.pdf</v>
      </c>
      <c r="I3" s="14" t="s">
        <v>24</v>
      </c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>
      <c r="A4" s="7" t="s">
        <v>25</v>
      </c>
      <c r="B4" s="7" t="s">
        <v>26</v>
      </c>
      <c r="C4" s="8" t="s">
        <v>27</v>
      </c>
      <c r="D4" s="9" t="s">
        <v>14</v>
      </c>
      <c r="E4" s="10">
        <v>1300.0</v>
      </c>
      <c r="F4" s="7" t="s">
        <v>28</v>
      </c>
      <c r="G4" s="7" t="s">
        <v>23</v>
      </c>
      <c r="H4" s="11" t="str">
        <f>HYPERLINK("http://www.usrc.it/images/Documenti/Determinazione%20congiunta%20n.%207.PDF","Determinazione USRC/USRA n 7 del 2013.pdf")</f>
        <v>Determinazione USRC/USRA n 7 del 2013.pdf</v>
      </c>
      <c r="I4" s="14" t="s">
        <v>24</v>
      </c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>
      <c r="A5" s="7" t="s">
        <v>29</v>
      </c>
      <c r="B5" s="7" t="s">
        <v>30</v>
      </c>
      <c r="C5" s="8" t="s">
        <v>31</v>
      </c>
      <c r="D5" s="9" t="s">
        <v>32</v>
      </c>
      <c r="E5" s="10">
        <v>400.0</v>
      </c>
      <c r="F5" s="7" t="s">
        <v>33</v>
      </c>
      <c r="G5" s="7" t="s">
        <v>16</v>
      </c>
      <c r="H5" s="11" t="s">
        <v>34</v>
      </c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>
      <c r="A6" s="7" t="s">
        <v>35</v>
      </c>
      <c r="B6" s="7" t="s">
        <v>36</v>
      </c>
      <c r="C6" s="8" t="s">
        <v>37</v>
      </c>
      <c r="D6" s="9" t="s">
        <v>32</v>
      </c>
      <c r="E6" s="10">
        <v>559.61</v>
      </c>
      <c r="F6" s="7" t="s">
        <v>33</v>
      </c>
      <c r="G6" s="7" t="s">
        <v>16</v>
      </c>
      <c r="H6" s="11" t="s">
        <v>34</v>
      </c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>
      <c r="A7" s="7" t="s">
        <v>38</v>
      </c>
      <c r="B7" s="7" t="s">
        <v>39</v>
      </c>
      <c r="C7" s="8" t="s">
        <v>40</v>
      </c>
      <c r="D7" s="9" t="s">
        <v>32</v>
      </c>
      <c r="E7" s="10">
        <v>68.0</v>
      </c>
      <c r="F7" s="7" t="s">
        <v>41</v>
      </c>
      <c r="G7" s="7" t="s">
        <v>16</v>
      </c>
      <c r="H7" s="11" t="s">
        <v>42</v>
      </c>
      <c r="I7" s="12"/>
      <c r="J7" s="12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>
      <c r="A8" s="7" t="s">
        <v>43</v>
      </c>
      <c r="B8" s="7" t="s">
        <v>44</v>
      </c>
      <c r="C8" s="8" t="s">
        <v>45</v>
      </c>
      <c r="D8" s="9" t="s">
        <v>32</v>
      </c>
      <c r="E8" s="10">
        <v>154954.0</v>
      </c>
      <c r="F8" s="7" t="s">
        <v>46</v>
      </c>
      <c r="G8" s="7" t="s">
        <v>16</v>
      </c>
      <c r="H8" s="11" t="s">
        <v>47</v>
      </c>
      <c r="I8" s="14" t="str">
        <f>HYPERLINK("http://www.usrc.it/AppRendiConta/det_87_20130906.pdf","Determinazione USRC n 87 del 2013.pdf")</f>
        <v>Determinazione USRC n 87 del 2013.pdf</v>
      </c>
      <c r="J8" s="14" t="str">
        <f>HYPERLINK("http://www.usrc.it/AppRendiConta/det_90_20130912.pdf","Determinazione USRC n 90 del 2013.pdf")</f>
        <v>Determinazione USRC n 90 del 2013.pdf</v>
      </c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>
      <c r="A9" s="7" t="s">
        <v>48</v>
      </c>
      <c r="B9" s="7" t="s">
        <v>49</v>
      </c>
      <c r="C9" s="8" t="s">
        <v>50</v>
      </c>
      <c r="D9" s="9" t="s">
        <v>32</v>
      </c>
      <c r="E9" s="10">
        <v>459.86</v>
      </c>
      <c r="F9" s="7" t="s">
        <v>51</v>
      </c>
      <c r="G9" s="7" t="s">
        <v>16</v>
      </c>
      <c r="H9" s="11" t="s">
        <v>52</v>
      </c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>
      <c r="A10" s="7" t="s">
        <v>53</v>
      </c>
      <c r="B10" s="7" t="s">
        <v>54</v>
      </c>
      <c r="C10" s="8" t="s">
        <v>55</v>
      </c>
      <c r="D10" s="9" t="s">
        <v>32</v>
      </c>
      <c r="E10" s="10">
        <v>39794.63</v>
      </c>
      <c r="F10" s="7" t="s">
        <v>56</v>
      </c>
      <c r="G10" s="7" t="s">
        <v>16</v>
      </c>
      <c r="H10" s="11" t="s">
        <v>57</v>
      </c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>
      <c r="A11" s="7" t="s">
        <v>58</v>
      </c>
      <c r="B11" s="7" t="s">
        <v>59</v>
      </c>
      <c r="C11" s="8" t="s">
        <v>60</v>
      </c>
      <c r="D11" s="9" t="s">
        <v>32</v>
      </c>
      <c r="E11" s="10">
        <v>8262.88</v>
      </c>
      <c r="F11" s="7" t="s">
        <v>61</v>
      </c>
      <c r="G11" s="7" t="s">
        <v>16</v>
      </c>
      <c r="H11" s="11" t="str">
        <f>HYPERLINK("http://www.usrc.it/AppRendiConta/det_71_20130708.pdf","Determinazione USRC n 71 del 2013.pdf")</f>
        <v>Determinazione USRC n 71 del 2013.pdf</v>
      </c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>
      <c r="A12" s="7" t="s">
        <v>62</v>
      </c>
      <c r="B12" s="7" t="s">
        <v>63</v>
      </c>
      <c r="C12" s="8" t="s">
        <v>64</v>
      </c>
      <c r="D12" s="9" t="s">
        <v>14</v>
      </c>
      <c r="E12" s="10">
        <v>39204.0</v>
      </c>
      <c r="F12" s="7" t="s">
        <v>65</v>
      </c>
      <c r="G12" s="7" t="s">
        <v>16</v>
      </c>
      <c r="H12" s="11" t="s">
        <v>66</v>
      </c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>
      <c r="A13" s="7" t="s">
        <v>67</v>
      </c>
      <c r="B13" s="7" t="s">
        <v>68</v>
      </c>
      <c r="C13" s="8" t="s">
        <v>69</v>
      </c>
      <c r="D13" s="9" t="s">
        <v>14</v>
      </c>
      <c r="E13" s="10">
        <v>7942.0</v>
      </c>
      <c r="F13" s="7" t="s">
        <v>70</v>
      </c>
      <c r="G13" s="7" t="s">
        <v>16</v>
      </c>
      <c r="H13" s="11" t="s">
        <v>71</v>
      </c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>
      <c r="A14" s="7" t="s">
        <v>53</v>
      </c>
      <c r="B14" s="7" t="s">
        <v>54</v>
      </c>
      <c r="C14" s="8" t="s">
        <v>55</v>
      </c>
      <c r="D14" s="9" t="s">
        <v>32</v>
      </c>
      <c r="E14" s="10">
        <v>19624.5</v>
      </c>
      <c r="F14" s="7" t="s">
        <v>72</v>
      </c>
      <c r="G14" s="7" t="s">
        <v>16</v>
      </c>
      <c r="H14" s="11" t="s">
        <v>73</v>
      </c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>
      <c r="A15" s="7" t="s">
        <v>74</v>
      </c>
      <c r="B15" s="7" t="s">
        <v>75</v>
      </c>
      <c r="C15" s="8" t="s">
        <v>76</v>
      </c>
      <c r="D15" s="9" t="s">
        <v>14</v>
      </c>
      <c r="E15" s="10">
        <v>61239.16</v>
      </c>
      <c r="F15" s="7" t="s">
        <v>77</v>
      </c>
      <c r="G15" s="7" t="s">
        <v>16</v>
      </c>
      <c r="H15" s="11" t="s">
        <v>78</v>
      </c>
      <c r="I15" s="14" t="s">
        <v>34</v>
      </c>
      <c r="J15" s="12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>
      <c r="A16" s="7" t="s">
        <v>79</v>
      </c>
      <c r="B16" s="7" t="s">
        <v>80</v>
      </c>
      <c r="C16" s="8" t="s">
        <v>81</v>
      </c>
      <c r="D16" s="9" t="s">
        <v>32</v>
      </c>
      <c r="E16" s="10">
        <v>5000.0</v>
      </c>
      <c r="F16" s="7" t="s">
        <v>77</v>
      </c>
      <c r="G16" s="7" t="s">
        <v>16</v>
      </c>
      <c r="H16" s="11" t="s">
        <v>78</v>
      </c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>
      <c r="A17" s="7" t="s">
        <v>82</v>
      </c>
      <c r="B17" s="7" t="s">
        <v>83</v>
      </c>
      <c r="C17" s="8" t="s">
        <v>84</v>
      </c>
      <c r="D17" s="9" t="s">
        <v>85</v>
      </c>
      <c r="E17" s="10">
        <v>99173.0</v>
      </c>
      <c r="F17" s="7" t="s">
        <v>86</v>
      </c>
      <c r="G17" s="7" t="s">
        <v>16</v>
      </c>
      <c r="H17" s="11" t="s">
        <v>87</v>
      </c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>
      <c r="A18" s="7" t="s">
        <v>88</v>
      </c>
      <c r="B18" s="7" t="s">
        <v>89</v>
      </c>
      <c r="C18" s="8" t="s">
        <v>69</v>
      </c>
      <c r="D18" s="9" t="s">
        <v>14</v>
      </c>
      <c r="E18" s="10">
        <v>96154.9</v>
      </c>
      <c r="F18" s="7" t="s">
        <v>86</v>
      </c>
      <c r="G18" s="7" t="s">
        <v>16</v>
      </c>
      <c r="H18" s="11" t="s">
        <v>87</v>
      </c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>
      <c r="A19" s="7" t="s">
        <v>90</v>
      </c>
      <c r="B19" s="7" t="s">
        <v>91</v>
      </c>
      <c r="C19" s="8" t="s">
        <v>92</v>
      </c>
      <c r="D19" s="9" t="s">
        <v>14</v>
      </c>
      <c r="E19" s="10">
        <v>6500.0</v>
      </c>
      <c r="F19" s="7" t="s">
        <v>93</v>
      </c>
      <c r="G19" s="7" t="s">
        <v>16</v>
      </c>
      <c r="H19" s="11" t="s">
        <v>94</v>
      </c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>
      <c r="A20" s="7" t="s">
        <v>95</v>
      </c>
      <c r="B20" s="7" t="s">
        <v>96</v>
      </c>
      <c r="C20" s="8" t="s">
        <v>97</v>
      </c>
      <c r="D20" s="9" t="s">
        <v>14</v>
      </c>
      <c r="E20" s="10">
        <v>2768.84</v>
      </c>
      <c r="F20" s="15" t="str">
        <f>HYPERLINK("http://det_71_20130708.pdf","Determinazione USRC n 71 del 2013.pdf")</f>
        <v>Determinazione USRC n 71 del 2013.pdf</v>
      </c>
      <c r="G20" s="7" t="s">
        <v>16</v>
      </c>
      <c r="H20" s="11" t="s">
        <v>98</v>
      </c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>
      <c r="A21" s="7" t="s">
        <v>99</v>
      </c>
      <c r="B21" s="7" t="s">
        <v>100</v>
      </c>
      <c r="C21" s="8" t="s">
        <v>101</v>
      </c>
      <c r="D21" s="9" t="s">
        <v>32</v>
      </c>
      <c r="E21" s="10">
        <v>1760.0</v>
      </c>
      <c r="F21" s="7" t="s">
        <v>102</v>
      </c>
      <c r="G21" s="7" t="s">
        <v>16</v>
      </c>
      <c r="H21" s="11" t="s">
        <v>103</v>
      </c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>
      <c r="A22" s="7" t="s">
        <v>99</v>
      </c>
      <c r="B22" s="7" t="s">
        <v>104</v>
      </c>
      <c r="C22" s="8" t="s">
        <v>105</v>
      </c>
      <c r="D22" s="9" t="s">
        <v>32</v>
      </c>
      <c r="E22" s="10">
        <v>2420.0</v>
      </c>
      <c r="F22" s="7" t="s">
        <v>102</v>
      </c>
      <c r="G22" s="7" t="s">
        <v>16</v>
      </c>
      <c r="H22" s="11" t="s">
        <v>103</v>
      </c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>
      <c r="A23" s="7" t="s">
        <v>106</v>
      </c>
      <c r="B23" s="7" t="s">
        <v>107</v>
      </c>
      <c r="C23" s="8" t="s">
        <v>108</v>
      </c>
      <c r="D23" s="9" t="s">
        <v>14</v>
      </c>
      <c r="E23" s="10">
        <v>39000.0</v>
      </c>
      <c r="F23" s="7" t="s">
        <v>109</v>
      </c>
      <c r="G23" s="7" t="s">
        <v>16</v>
      </c>
      <c r="H23" s="11" t="s">
        <v>110</v>
      </c>
      <c r="I23" s="14" t="s">
        <v>111</v>
      </c>
      <c r="J23" s="14" t="s">
        <v>112</v>
      </c>
      <c r="K23" s="12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>
      <c r="A24" s="7" t="s">
        <v>113</v>
      </c>
      <c r="B24" s="7" t="s">
        <v>114</v>
      </c>
      <c r="C24" s="8" t="s">
        <v>115</v>
      </c>
      <c r="D24" s="9" t="s">
        <v>14</v>
      </c>
      <c r="E24" s="10">
        <v>1900.0</v>
      </c>
      <c r="F24" s="7" t="s">
        <v>116</v>
      </c>
      <c r="G24" s="7" t="s">
        <v>16</v>
      </c>
      <c r="H24" s="11" t="str">
        <f>HYPERLINK("http://www.usrc.it/AppRendiConta/det_149_20131122.pdf","Determinazione USRC n 149 del 2013.pdf")</f>
        <v>Determinazione USRC n 149 del 2013.pdf</v>
      </c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>
      <c r="A25" s="7" t="s">
        <v>117</v>
      </c>
      <c r="B25" s="7" t="s">
        <v>118</v>
      </c>
      <c r="C25" s="8" t="s">
        <v>119</v>
      </c>
      <c r="D25" s="9" t="s">
        <v>14</v>
      </c>
      <c r="E25" s="10">
        <v>39700.0</v>
      </c>
      <c r="F25" s="7" t="s">
        <v>120</v>
      </c>
      <c r="G25" s="7" t="s">
        <v>16</v>
      </c>
      <c r="H25" s="11" t="str">
        <f>HYPERLINK("http://www.usrc.it/AppRendiConta/det_153_20131127.pdf","Determinazione USRC n 153 del 2013.pdf")</f>
        <v>Determinazione USRC n 153 del 2013.pdf</v>
      </c>
      <c r="I25" s="14" t="s">
        <v>121</v>
      </c>
      <c r="J25" s="12"/>
      <c r="K25" s="1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>
      <c r="A26" s="7" t="s">
        <v>122</v>
      </c>
      <c r="B26" s="7" t="s">
        <v>123</v>
      </c>
      <c r="C26" s="8" t="s">
        <v>124</v>
      </c>
      <c r="D26" s="9" t="s">
        <v>14</v>
      </c>
      <c r="E26" s="10">
        <v>39700.0</v>
      </c>
      <c r="F26" s="7" t="s">
        <v>125</v>
      </c>
      <c r="G26" s="7" t="s">
        <v>16</v>
      </c>
      <c r="H26" s="11" t="str">
        <f>HYPERLINK("http://www.usrc.it/AppRendiConta/DET_162_20131205.pdf","Determinazione USRC n 162 del 2013.pdf")</f>
        <v>Determinazione USRC n 162 del 2013.pdf</v>
      </c>
      <c r="I26" s="14" t="s">
        <v>126</v>
      </c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>
      <c r="A27" s="7" t="s">
        <v>127</v>
      </c>
      <c r="B27" s="7" t="s">
        <v>114</v>
      </c>
      <c r="C27" s="8" t="s">
        <v>115</v>
      </c>
      <c r="D27" s="9" t="s">
        <v>14</v>
      </c>
      <c r="E27" s="10">
        <v>11700.0</v>
      </c>
      <c r="F27" s="7" t="s">
        <v>128</v>
      </c>
      <c r="G27" s="7" t="s">
        <v>16</v>
      </c>
      <c r="H27" s="11" t="str">
        <f>HYPERLINK("http://www.usrc.it/AppRendiConta/det_177_20131210.pdf","Determinazione USRC n 177 del 2013.pdf")</f>
        <v>Determinazione USRC n 177 del 2013.pdf</v>
      </c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>
      <c r="A28" s="7" t="s">
        <v>129</v>
      </c>
      <c r="B28" s="7" t="s">
        <v>130</v>
      </c>
      <c r="C28" s="8" t="s">
        <v>131</v>
      </c>
      <c r="D28" s="9" t="s">
        <v>132</v>
      </c>
      <c r="E28" s="10">
        <v>3700.0</v>
      </c>
      <c r="F28" s="7" t="s">
        <v>133</v>
      </c>
      <c r="G28" s="7" t="s">
        <v>16</v>
      </c>
      <c r="H28" s="11" t="str">
        <f>HYPERLINK("http://www.usrc.it/AppRendiConta/det_182_20131211.pdf","Determinazione USRC n 182 del 2013.pdf")</f>
        <v>Determinazione USRC n 182 del 2013.pdf</v>
      </c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>
      <c r="A29" s="7" t="s">
        <v>134</v>
      </c>
      <c r="B29" s="7" t="s">
        <v>135</v>
      </c>
      <c r="C29" s="8" t="s">
        <v>136</v>
      </c>
      <c r="D29" s="9" t="s">
        <v>14</v>
      </c>
      <c r="E29" s="10">
        <v>39700.0</v>
      </c>
      <c r="F29" s="7" t="s">
        <v>137</v>
      </c>
      <c r="G29" s="7" t="s">
        <v>16</v>
      </c>
      <c r="H29" s="11" t="str">
        <f>HYPERLINK("http://www.usrc.it/AppRendiConta/Det_197_20131220.pdf","Determinazione USRC n 197 del 2013.pdf")</f>
        <v>Determinazione USRC n 197 del 2013.pdf</v>
      </c>
      <c r="I29" s="14" t="s">
        <v>138</v>
      </c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>
      <c r="A30" s="7" t="s">
        <v>139</v>
      </c>
      <c r="B30" s="7" t="s">
        <v>54</v>
      </c>
      <c r="C30" s="8" t="s">
        <v>55</v>
      </c>
      <c r="D30" s="9" t="s">
        <v>32</v>
      </c>
      <c r="E30" s="10">
        <v>12645.0</v>
      </c>
      <c r="F30" s="7" t="s">
        <v>140</v>
      </c>
      <c r="G30" s="7" t="s">
        <v>16</v>
      </c>
      <c r="H30" s="11" t="str">
        <f>HYPERLINK("http://www.usrc.it/AppRendiConta/det_200_20131230.pdf","Determinazione USRC n 200 del 2013.pdf")</f>
        <v>Determinazione USRC n 200 del 2013.pdf</v>
      </c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>
      <c r="A31" s="7" t="s">
        <v>141</v>
      </c>
      <c r="B31" s="7" t="s">
        <v>142</v>
      </c>
      <c r="C31" s="8" t="s">
        <v>13</v>
      </c>
      <c r="D31" s="9" t="s">
        <v>14</v>
      </c>
      <c r="E31" s="10" t="s">
        <v>143</v>
      </c>
      <c r="F31" s="7" t="s">
        <v>144</v>
      </c>
      <c r="G31" s="7" t="s">
        <v>16</v>
      </c>
      <c r="H31" s="11" t="str">
        <f>HYPERLINK("http://www.usrc.it/AppRendiConta/det_201_20131230.pdf","Determinazione USRC n 201 del 2013.pdf")</f>
        <v>Determinazione USRC n 201 del 2013.pdf</v>
      </c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>
      <c r="A32" s="7" t="s">
        <v>145</v>
      </c>
      <c r="B32" s="7" t="s">
        <v>146</v>
      </c>
      <c r="C32" s="8" t="s">
        <v>147</v>
      </c>
      <c r="D32" s="9" t="s">
        <v>14</v>
      </c>
      <c r="E32" s="10">
        <v>39700.0</v>
      </c>
      <c r="F32" s="7" t="s">
        <v>148</v>
      </c>
      <c r="G32" s="7" t="s">
        <v>16</v>
      </c>
      <c r="H32" s="11" t="str">
        <f>HYPERLINK("http://www.usrc.it/AppRendiConta/det_2_20140108.pdf","Determinazione USRC n 2 del 2014.pdf")</f>
        <v>Determinazione USRC n 2 del 2014.pdf</v>
      </c>
      <c r="I32" s="14" t="str">
        <f>HYPERLINK("http://www.usrc.it/AppRendiConta/Rep_2_17_gennaio_2014_IRES.pdf","Rep n. 2 del 17 gennaio 2014 IRES")</f>
        <v>Rep n. 2 del 17 gennaio 2014 IRES</v>
      </c>
      <c r="J32" s="12"/>
      <c r="K32" s="1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>
      <c r="A33" s="7" t="s">
        <v>149</v>
      </c>
      <c r="B33" s="7" t="s">
        <v>150</v>
      </c>
      <c r="C33" s="8" t="s">
        <v>151</v>
      </c>
      <c r="D33" s="9" t="s">
        <v>14</v>
      </c>
      <c r="E33" s="10">
        <v>781.11</v>
      </c>
      <c r="F33" s="7" t="s">
        <v>152</v>
      </c>
      <c r="G33" s="7" t="s">
        <v>16</v>
      </c>
      <c r="H33" s="11" t="str">
        <f>HYPERLINK("http://www.usrc.it/AppRendiConta/DET_24_20140213.pdf","Determinazione USRC n 24 del 2014.pdf")</f>
        <v>Determinazione USRC n 24 del 2014.pdf</v>
      </c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>
      <c r="A34" s="7" t="s">
        <v>153</v>
      </c>
      <c r="B34" s="7" t="s">
        <v>154</v>
      </c>
      <c r="C34" s="8" t="s">
        <v>155</v>
      </c>
      <c r="D34" s="9" t="s">
        <v>14</v>
      </c>
      <c r="E34" s="10">
        <v>38500.0</v>
      </c>
      <c r="F34" s="7" t="s">
        <v>156</v>
      </c>
      <c r="G34" s="7" t="s">
        <v>16</v>
      </c>
      <c r="H34" s="11" t="str">
        <f>HYPERLINK("http://www.usrc.it/AppRendiConta/det_51_20140310.pdf","Determinazione USRC n 51 del 2014.pdf")</f>
        <v>Determinazione USRC n 51 del 2014.pdf</v>
      </c>
      <c r="I34" s="14" t="str">
        <f>HYPERLINK("http://www.usrc.it/AppRendiConta/det_34_20140218.pdf","Determinazione USRC n 34 del 2014.pdf")</f>
        <v>Determinazione USRC n 34 del 2014.pdf</v>
      </c>
      <c r="J34" s="14" t="str">
        <f>HYPERLINK("http://www.usrc.it/images/Documenti/rep0114.PDF","Rep nr. 1 dell'18 febbraio 2014 - AVVISO")</f>
        <v>Rep nr. 1 dell'18 febbraio 2014 - AVVISO</v>
      </c>
      <c r="K34" s="14" t="str">
        <f>HYPERLINK("http://www.usrc.it/AppRendiConta/rep_usrc_conv_5_20140311.pdf","Rep nr. 5 dell'11 marzo 2014 - CENSIS.pdf")</f>
        <v>Rep nr. 5 dell'11 marzo 2014 - CENSIS.pdf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>
      <c r="A35" s="7" t="s">
        <v>149</v>
      </c>
      <c r="B35" s="7" t="s">
        <v>150</v>
      </c>
      <c r="C35" s="8" t="s">
        <v>151</v>
      </c>
      <c r="D35" s="9" t="s">
        <v>14</v>
      </c>
      <c r="E35" s="10">
        <v>94.0</v>
      </c>
      <c r="F35" s="7" t="s">
        <v>157</v>
      </c>
      <c r="G35" s="7" t="s">
        <v>16</v>
      </c>
      <c r="H35" s="11" t="str">
        <f>HYPERLINK("http://www.usrc.it/AppRendiConta/DET_59_20140324.pdf","Determinazione USRC n 59 del 2014.pdf")</f>
        <v>Determinazione USRC n 59 del 2014.pdf</v>
      </c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>
      <c r="A36" s="7" t="s">
        <v>158</v>
      </c>
      <c r="B36" s="7" t="s">
        <v>159</v>
      </c>
      <c r="C36" s="16" t="s">
        <v>160</v>
      </c>
      <c r="D36" s="9" t="s">
        <v>161</v>
      </c>
      <c r="E36" s="10">
        <v>14606.0</v>
      </c>
      <c r="F36" s="7" t="s">
        <v>162</v>
      </c>
      <c r="G36" s="7" t="s">
        <v>16</v>
      </c>
      <c r="H36" s="11" t="str">
        <f>HYPERLINK("http://www.usrc.it/AppRendiConta/DET_74_20140404.pdf","Determinazione USRC n 74 del 2014.pdf")</f>
        <v>Determinazione USRC n 74 del 2014.pdf</v>
      </c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>
      <c r="A37" s="7" t="s">
        <v>163</v>
      </c>
      <c r="B37" s="7" t="s">
        <v>164</v>
      </c>
      <c r="C37" s="8" t="s">
        <v>165</v>
      </c>
      <c r="D37" s="9" t="s">
        <v>132</v>
      </c>
      <c r="E37" s="10">
        <v>7141.0</v>
      </c>
      <c r="F37" s="7" t="s">
        <v>166</v>
      </c>
      <c r="G37" s="7" t="s">
        <v>16</v>
      </c>
      <c r="H37" s="11" t="str">
        <f>HYPERLINK("http://www.usrc.it/AppRendiConta/det_83_20140417.pdf","Determinazione USRC n 83 del 2014.pdf")</f>
        <v>Determinazione USRC n 83 del 2014.pdf</v>
      </c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>
      <c r="A38" s="7" t="s">
        <v>158</v>
      </c>
      <c r="B38" s="7" t="s">
        <v>19</v>
      </c>
      <c r="C38" s="8" t="s">
        <v>20</v>
      </c>
      <c r="D38" s="9" t="s">
        <v>21</v>
      </c>
      <c r="E38" s="10">
        <v>1923.0</v>
      </c>
      <c r="F38" s="7" t="s">
        <v>167</v>
      </c>
      <c r="G38" s="7" t="s">
        <v>16</v>
      </c>
      <c r="H38" s="11" t="str">
        <f>HYPERLINK("http://www.usrc.it/AppRendiConta/DET_84_20140417.pdf","Determinazione USRC n 84 del 2014.pdf")</f>
        <v>Determinazione USRC n 84 del 2014.pdf</v>
      </c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>
      <c r="A39" s="7" t="s">
        <v>168</v>
      </c>
      <c r="B39" s="7" t="s">
        <v>63</v>
      </c>
      <c r="C39" s="8" t="s">
        <v>64</v>
      </c>
      <c r="D39" s="9" t="s">
        <v>14</v>
      </c>
      <c r="E39" s="10">
        <v>39200.0</v>
      </c>
      <c r="F39" s="7" t="s">
        <v>169</v>
      </c>
      <c r="G39" s="7" t="s">
        <v>16</v>
      </c>
      <c r="H39" s="11" t="str">
        <f>HYPERLINK("http://www.usrc.it/AppRendiConta/det_111_20140515.pdf","Determinazione USRC n 111 del 2014.pdf")</f>
        <v>Determinazione USRC n 111 del 2014.pdf</v>
      </c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>
      <c r="A40" s="7" t="s">
        <v>170</v>
      </c>
      <c r="B40" s="7" t="s">
        <v>89</v>
      </c>
      <c r="C40" s="8" t="s">
        <v>69</v>
      </c>
      <c r="D40" s="9" t="s">
        <v>14</v>
      </c>
      <c r="E40" s="10">
        <v>96154.9</v>
      </c>
      <c r="F40" s="7" t="s">
        <v>171</v>
      </c>
      <c r="G40" s="7" t="s">
        <v>16</v>
      </c>
      <c r="H40" s="11" t="str">
        <f>HYPERLINK("http://www.usrc.it/AppRendiConta/DET_115_20140523.pdf","Determinazione USRC n 115 del 2014.pdf")</f>
        <v>Determinazione USRC n 115 del 2014.pdf</v>
      </c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>
      <c r="A41" s="7" t="s">
        <v>172</v>
      </c>
      <c r="B41" s="7" t="s">
        <v>173</v>
      </c>
      <c r="C41" s="8" t="s">
        <v>108</v>
      </c>
      <c r="D41" s="9" t="s">
        <v>14</v>
      </c>
      <c r="E41" s="10">
        <v>39000.0</v>
      </c>
      <c r="F41" s="7" t="s">
        <v>174</v>
      </c>
      <c r="G41" s="7" t="s">
        <v>16</v>
      </c>
      <c r="H41" s="11" t="str">
        <f>HYPERLINK("http://www.usrc.it/AppRendiConta/DET_130_20140530.pdf","Determinazione USRC n 130 del 2014.pdf")</f>
        <v>Determinazione USRC n 130 del 2014.pdf</v>
      </c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>
      <c r="A42" s="7" t="s">
        <v>175</v>
      </c>
      <c r="B42" s="7" t="s">
        <v>91</v>
      </c>
      <c r="C42" s="8" t="s">
        <v>92</v>
      </c>
      <c r="D42" s="9" t="s">
        <v>14</v>
      </c>
      <c r="E42" s="10">
        <v>6000.0</v>
      </c>
      <c r="F42" s="7" t="s">
        <v>176</v>
      </c>
      <c r="G42" s="7" t="s">
        <v>16</v>
      </c>
      <c r="H42" s="11" t="str">
        <f>HYPERLINK("http://www.usrc.it/AppRendiConta/DET_131_20140603.pdf","Determinazione USRC n 131 del 2014.pdf")</f>
        <v>Determinazione USRC n 131 del 2014.pdf</v>
      </c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>
      <c r="A43" s="7" t="s">
        <v>177</v>
      </c>
      <c r="B43" s="7" t="s">
        <v>178</v>
      </c>
      <c r="C43" s="8" t="s">
        <v>179</v>
      </c>
      <c r="D43" s="9" t="s">
        <v>14</v>
      </c>
      <c r="E43" s="10">
        <v>13882.7</v>
      </c>
      <c r="F43" s="7" t="s">
        <v>180</v>
      </c>
      <c r="G43" s="7" t="s">
        <v>16</v>
      </c>
      <c r="H43" s="11" t="str">
        <f>HYPERLINK("http://www.usrc.it/AppRendiConta/DET_144_20140613.pdf","Determinazione USRC n 144 del 2014.pdf")</f>
        <v>Determinazione USRC n 144 del 2014.pdf</v>
      </c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>
      <c r="A44" s="7" t="s">
        <v>141</v>
      </c>
      <c r="B44" s="7" t="s">
        <v>181</v>
      </c>
      <c r="C44" s="8" t="s">
        <v>182</v>
      </c>
      <c r="D44" s="9" t="s">
        <v>14</v>
      </c>
      <c r="E44" s="10">
        <v>6249.43</v>
      </c>
      <c r="F44" s="7" t="s">
        <v>183</v>
      </c>
      <c r="G44" s="7" t="s">
        <v>16</v>
      </c>
      <c r="H44" s="11" t="str">
        <f>HYPERLINK("http://www.usrc.it/AppRendiConta/DET_145_20140623.pdf","Determinazione USRC n 145 del 2014.pdf")</f>
        <v>Determinazione USRC n 145 del 2014.pdf</v>
      </c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>
      <c r="A45" s="7" t="s">
        <v>149</v>
      </c>
      <c r="B45" s="7" t="s">
        <v>150</v>
      </c>
      <c r="C45" s="8" t="s">
        <v>151</v>
      </c>
      <c r="D45" s="9" t="s">
        <v>14</v>
      </c>
      <c r="E45" s="10">
        <v>120.0</v>
      </c>
      <c r="F45" s="7" t="s">
        <v>184</v>
      </c>
      <c r="G45" s="7" t="s">
        <v>16</v>
      </c>
      <c r="H45" s="11" t="str">
        <f>HYPERLINK("http://www.usrc.it/AppRendiConta/DET_155_20140627.pdf","Determinazione USRC n 155 del 2014.pdf")</f>
        <v>Determinazione USRC n 155 del 2014.pdf</v>
      </c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>
      <c r="A46" s="7" t="s">
        <v>185</v>
      </c>
      <c r="B46" s="7" t="s">
        <v>186</v>
      </c>
      <c r="C46" s="16" t="s">
        <v>187</v>
      </c>
      <c r="D46" s="9" t="s">
        <v>14</v>
      </c>
      <c r="E46" s="10">
        <v>1560.0</v>
      </c>
      <c r="F46" s="7" t="s">
        <v>188</v>
      </c>
      <c r="G46" s="7" t="s">
        <v>16</v>
      </c>
      <c r="H46" s="11" t="str">
        <f>HYPERLINK("http://www.usrc.it/AppRendiConta/det_191_20140801.pdf","Determinazione USRC n.191 del 2014.pdf")</f>
        <v>Determinazione USRC n.191 del 2014.pdf</v>
      </c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>
      <c r="A47" s="7" t="s">
        <v>189</v>
      </c>
      <c r="B47" s="7" t="s">
        <v>190</v>
      </c>
      <c r="C47" s="8" t="s">
        <v>191</v>
      </c>
      <c r="D47" s="9" t="s">
        <v>14</v>
      </c>
      <c r="E47" s="10">
        <v>2326.1</v>
      </c>
      <c r="F47" s="7" t="s">
        <v>192</v>
      </c>
      <c r="G47" s="7" t="s">
        <v>16</v>
      </c>
      <c r="H47" s="11" t="str">
        <f>HYPERLINK("http://www.usrc.it/AppRendiConta/det_210_20140826.pdf","Determinazione USRC n. 210 del 2014.pdf")</f>
        <v>Determinazione USRC n. 210 del 2014.pdf</v>
      </c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>
      <c r="A48" s="7" t="s">
        <v>193</v>
      </c>
      <c r="B48" s="7" t="s">
        <v>194</v>
      </c>
      <c r="C48" s="8" t="s">
        <v>195</v>
      </c>
      <c r="D48" s="9" t="s">
        <v>14</v>
      </c>
      <c r="E48" s="10">
        <v>4697.0</v>
      </c>
      <c r="F48" s="7" t="s">
        <v>196</v>
      </c>
      <c r="G48" s="7" t="s">
        <v>16</v>
      </c>
      <c r="H48" s="11" t="str">
        <f>HYPERLINK("http://www.usrc.it/AppRendiConta/DET_233_20140915.pdf","Determinazione USRC n 233 del 2014.pdf")</f>
        <v>Determinazione USRC n 233 del 2014.pdf</v>
      </c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>
      <c r="A49" s="7" t="s">
        <v>141</v>
      </c>
      <c r="B49" s="7" t="s">
        <v>197</v>
      </c>
      <c r="C49" s="8" t="s">
        <v>198</v>
      </c>
      <c r="D49" s="9" t="s">
        <v>14</v>
      </c>
      <c r="E49" s="10">
        <v>1800.0</v>
      </c>
      <c r="F49" s="7" t="s">
        <v>199</v>
      </c>
      <c r="G49" s="7" t="s">
        <v>16</v>
      </c>
      <c r="H49" s="11" t="str">
        <f>HYPERLINK("http://www.usrc.it/AppRendiConta/DET_277_20141010.pdf","Determinazione USRC n 277 del 2014.pdf")</f>
        <v>Determinazione USRC n 277 del 2014.pdf</v>
      </c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>
      <c r="A50" s="7" t="s">
        <v>200</v>
      </c>
      <c r="B50" s="7" t="s">
        <v>114</v>
      </c>
      <c r="C50" s="8" t="s">
        <v>115</v>
      </c>
      <c r="D50" s="9" t="s">
        <v>14</v>
      </c>
      <c r="E50" s="10">
        <v>3770.0</v>
      </c>
      <c r="F50" s="7" t="s">
        <v>201</v>
      </c>
      <c r="G50" s="7" t="s">
        <v>16</v>
      </c>
      <c r="H50" s="11" t="str">
        <f>HYPERLINK("http://www.usrc.it/AppRendiConta/DET_288_20141022.pdf","Determinazione USRC n 288 del 2014.pdf")</f>
        <v>Determinazione USRC n 288 del 2014.pdf</v>
      </c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>
      <c r="A51" s="7" t="s">
        <v>202</v>
      </c>
      <c r="B51" s="7" t="s">
        <v>203</v>
      </c>
      <c r="C51" s="8" t="s">
        <v>204</v>
      </c>
      <c r="D51" s="9" t="s">
        <v>14</v>
      </c>
      <c r="E51" s="10">
        <v>369.46</v>
      </c>
      <c r="F51" s="7" t="s">
        <v>205</v>
      </c>
      <c r="G51" s="7" t="s">
        <v>16</v>
      </c>
      <c r="H51" s="11" t="str">
        <f>HYPERLINK("http://www.usrc.it/AppRendiConta/DET_324_20141118.pdf","Determinazione USRC n 324 del 2014.pdf")</f>
        <v>Determinazione USRC n 324 del 2014.pdf</v>
      </c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>
      <c r="A52" s="7" t="s">
        <v>206</v>
      </c>
      <c r="B52" s="7" t="s">
        <v>80</v>
      </c>
      <c r="C52" s="8" t="s">
        <v>81</v>
      </c>
      <c r="D52" s="9" t="s">
        <v>32</v>
      </c>
      <c r="E52" s="10">
        <v>5000.0</v>
      </c>
      <c r="F52" s="7" t="s">
        <v>207</v>
      </c>
      <c r="G52" s="7" t="s">
        <v>16</v>
      </c>
      <c r="H52" s="11" t="str">
        <f>HYPERLINK("http://www.usrc.it/AppRendiConta/DET_325_20141118.pdf","Determinazione USRC n 325 del 2014.pdf")</f>
        <v>Determinazione USRC n 325 del 2014.pdf</v>
      </c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>
      <c r="A53" s="7" t="s">
        <v>208</v>
      </c>
      <c r="B53" s="7" t="s">
        <v>209</v>
      </c>
      <c r="C53" s="8" t="s">
        <v>64</v>
      </c>
      <c r="D53" s="9" t="s">
        <v>14</v>
      </c>
      <c r="E53" s="10">
        <v>324.0</v>
      </c>
      <c r="F53" s="7" t="s">
        <v>210</v>
      </c>
      <c r="G53" s="7" t="s">
        <v>16</v>
      </c>
      <c r="H53" s="11" t="str">
        <f>HYPERLINK("http://www.usrc.it/AppRendiConta/DET_326_20141118.pdf","Determinazione USRC n 326 del 2014.pdf")</f>
        <v>Determinazione USRC n 326 del 2014.pdf</v>
      </c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>
      <c r="A54" s="7" t="s">
        <v>141</v>
      </c>
      <c r="B54" s="7" t="s">
        <v>211</v>
      </c>
      <c r="C54" s="8" t="s">
        <v>212</v>
      </c>
      <c r="D54" s="9" t="s">
        <v>14</v>
      </c>
      <c r="E54" s="10">
        <v>1246.0</v>
      </c>
      <c r="F54" s="7" t="s">
        <v>213</v>
      </c>
      <c r="G54" s="7" t="s">
        <v>16</v>
      </c>
      <c r="H54" s="11" t="str">
        <f>HYPERLINK("http://www.usrc.it/AppRendiConta/DET_339_20141203.pdf","Determinazione USRC n 339 del 2014.pdf")</f>
        <v>Determinazione USRC n 339 del 2014.pdf</v>
      </c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>
      <c r="A55" s="7" t="s">
        <v>141</v>
      </c>
      <c r="B55" s="7" t="s">
        <v>214</v>
      </c>
      <c r="C55" s="8" t="s">
        <v>215</v>
      </c>
      <c r="D55" s="9" t="s">
        <v>14</v>
      </c>
      <c r="E55" s="10">
        <v>11408.76</v>
      </c>
      <c r="F55" s="7" t="s">
        <v>216</v>
      </c>
      <c r="G55" s="7" t="s">
        <v>16</v>
      </c>
      <c r="H55" s="11" t="str">
        <f>HYPERLINK("http://www.usrc.it/AppRendiConta/det_17_20150116.pdf","Determinazione USRC n.17 del 2015.pdf")</f>
        <v>Determinazione USRC n.17 del 2015.pdf</v>
      </c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>
      <c r="A56" s="7" t="s">
        <v>217</v>
      </c>
      <c r="B56" s="7" t="s">
        <v>218</v>
      </c>
      <c r="C56" s="8" t="s">
        <v>219</v>
      </c>
      <c r="D56" s="9" t="s">
        <v>14</v>
      </c>
      <c r="E56" s="10">
        <v>14000.0</v>
      </c>
      <c r="F56" s="7" t="s">
        <v>220</v>
      </c>
      <c r="G56" s="7" t="s">
        <v>16</v>
      </c>
      <c r="H56" s="11" t="str">
        <f>HYPERLINK("http://www.usrc.it/AppRendiConta/det_31_20150121.pdf","Determinazione USRC n.31 del 2015.pdf")</f>
        <v>Determinazione USRC n.31 del 2015.pdf</v>
      </c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>
      <c r="A57" s="7" t="s">
        <v>141</v>
      </c>
      <c r="B57" s="7" t="s">
        <v>12</v>
      </c>
      <c r="C57" s="8" t="s">
        <v>13</v>
      </c>
      <c r="D57" s="9" t="s">
        <v>14</v>
      </c>
      <c r="E57" s="10">
        <v>5034.0</v>
      </c>
      <c r="F57" s="7" t="s">
        <v>221</v>
      </c>
      <c r="G57" s="7" t="s">
        <v>16</v>
      </c>
      <c r="H57" s="11" t="str">
        <f>HYPERLINK("http://www.usrc.it/AppRendiConta/det_32_20150122.pdf","Determinazione USRC n.32 del 2015.pdf")</f>
        <v>Determinazione USRC n.32 del 2015.pdf</v>
      </c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>
      <c r="A58" s="7" t="s">
        <v>222</v>
      </c>
      <c r="B58" s="7" t="s">
        <v>223</v>
      </c>
      <c r="C58" s="16" t="s">
        <v>224</v>
      </c>
      <c r="D58" s="9" t="s">
        <v>32</v>
      </c>
      <c r="E58" s="10">
        <v>10449.35</v>
      </c>
      <c r="F58" s="7" t="s">
        <v>225</v>
      </c>
      <c r="G58" s="7" t="s">
        <v>16</v>
      </c>
      <c r="H58" s="11" t="str">
        <f>HYPERLINK("http://www.usrc.it/AppRendiConta/det_122_20150320.pdf","Determinazione USRC n.122 del 2015.pdf")</f>
        <v>Determinazione USRC n.122 del 2015.pdf</v>
      </c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>
      <c r="A59" s="7" t="s">
        <v>226</v>
      </c>
      <c r="B59" s="7" t="s">
        <v>54</v>
      </c>
      <c r="C59" s="8" t="s">
        <v>55</v>
      </c>
      <c r="D59" s="9" t="s">
        <v>32</v>
      </c>
      <c r="E59" s="10">
        <v>4950.6</v>
      </c>
      <c r="F59" s="7" t="s">
        <v>227</v>
      </c>
      <c r="G59" s="7" t="s">
        <v>16</v>
      </c>
      <c r="H59" s="11" t="str">
        <f>HYPERLINK("http://www.usrc.it/AppRendiConta/det_230_20150529.pdf","Determinazione USRC n.230 del 2015.pdf")</f>
        <v>Determinazione USRC n.230 del 2015.pdf</v>
      </c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>
      <c r="A60" s="7" t="s">
        <v>228</v>
      </c>
      <c r="B60" s="7" t="s">
        <v>186</v>
      </c>
      <c r="C60" s="16" t="s">
        <v>187</v>
      </c>
      <c r="D60" s="9" t="s">
        <v>14</v>
      </c>
      <c r="E60" s="10">
        <v>1820.0</v>
      </c>
      <c r="F60" s="7" t="s">
        <v>229</v>
      </c>
      <c r="G60" s="7" t="s">
        <v>16</v>
      </c>
      <c r="H60" s="11" t="str">
        <f>HYPERLINK("http://www.usrc.it/AppRendiConta/det_231_20150603.pdf","Determinazione USRC n.231 del 2015.pdf")</f>
        <v>Determinazione USRC n.231 del 2015.pdf</v>
      </c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>
      <c r="A61" s="7" t="s">
        <v>230</v>
      </c>
      <c r="B61" s="7" t="s">
        <v>231</v>
      </c>
      <c r="C61" s="8" t="s">
        <v>69</v>
      </c>
      <c r="D61" s="9" t="s">
        <v>14</v>
      </c>
      <c r="E61" s="10">
        <v>129130.85</v>
      </c>
      <c r="F61" s="7" t="s">
        <v>232</v>
      </c>
      <c r="G61" s="7" t="s">
        <v>16</v>
      </c>
      <c r="H61" s="11" t="str">
        <f>HYPERLINK("http://www.usrc.it/AppRendiConta/det_250_20150603.pdf","Determinazione USRC n.250 del 2015.pdf")</f>
        <v>Determinazione USRC n.250 del 2015.pdf</v>
      </c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>
      <c r="A62" s="7" t="s">
        <v>233</v>
      </c>
      <c r="B62" s="7" t="s">
        <v>91</v>
      </c>
      <c r="C62" s="8" t="s">
        <v>92</v>
      </c>
      <c r="D62" s="9" t="s">
        <v>14</v>
      </c>
      <c r="E62" s="10">
        <v>6600.0</v>
      </c>
      <c r="F62" s="7" t="s">
        <v>234</v>
      </c>
      <c r="G62" s="7" t="s">
        <v>16</v>
      </c>
      <c r="H62" s="11" t="str">
        <f>HYPERLINK("http://www.usrc.it/AppRendiConta/det_264_20150612.pdf","Determinazione USRC n.264 del 2015.pdf")</f>
        <v>Determinazione USRC n.264 del 2015.pdf</v>
      </c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>
      <c r="A63" s="7" t="s">
        <v>235</v>
      </c>
      <c r="B63" s="7" t="s">
        <v>236</v>
      </c>
      <c r="C63" s="8" t="s">
        <v>237</v>
      </c>
      <c r="D63" s="9" t="s">
        <v>14</v>
      </c>
      <c r="E63" s="10">
        <v>14994.45</v>
      </c>
      <c r="F63" s="7" t="s">
        <v>238</v>
      </c>
      <c r="G63" s="7" t="s">
        <v>16</v>
      </c>
      <c r="H63" s="11" t="str">
        <f>HYPERLINK("http://www.usrc.it/AppRendiConta/det_274_20150617.pdf","Determinazione USRC n.274 del 2015.pdf")</f>
        <v>Determinazione USRC n.274 del 2015.pdf</v>
      </c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>
      <c r="A64" s="7" t="s">
        <v>239</v>
      </c>
      <c r="B64" s="7" t="s">
        <v>240</v>
      </c>
      <c r="C64" s="16" t="s">
        <v>241</v>
      </c>
      <c r="D64" s="9" t="s">
        <v>14</v>
      </c>
      <c r="E64" s="10">
        <v>34900.0</v>
      </c>
      <c r="F64" s="7" t="s">
        <v>242</v>
      </c>
      <c r="G64" s="7" t="s">
        <v>16</v>
      </c>
      <c r="H64" s="11" t="str">
        <f>HYPERLINK("http://www.usrc.it/AppRendiConta/det_284_20150618.pdf","Determinazione USRC n.284 del 2105.pdf")</f>
        <v>Determinazione USRC n.284 del 2105.pdf</v>
      </c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>
      <c r="A65" s="7" t="s">
        <v>243</v>
      </c>
      <c r="B65" s="7" t="s">
        <v>244</v>
      </c>
      <c r="C65" s="16" t="s">
        <v>245</v>
      </c>
      <c r="D65" s="9" t="s">
        <v>32</v>
      </c>
      <c r="E65" s="10">
        <v>9930.0</v>
      </c>
      <c r="F65" s="7" t="s">
        <v>246</v>
      </c>
      <c r="G65" s="7" t="s">
        <v>16</v>
      </c>
      <c r="H65" s="11" t="str">
        <f>HYPERLINK("http://www.usrc.it/AppRendiConta/det_304_20150629.pdf","Determinazione USRC n.304 del 2105.pdf")</f>
        <v>Determinazione USRC n.304 del 2105.pdf</v>
      </c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>
      <c r="A66" s="7" t="s">
        <v>247</v>
      </c>
      <c r="B66" s="7" t="s">
        <v>248</v>
      </c>
      <c r="C66" s="8" t="s">
        <v>249</v>
      </c>
      <c r="D66" s="9" t="s">
        <v>14</v>
      </c>
      <c r="E66" s="10">
        <v>2000.0</v>
      </c>
      <c r="F66" s="7" t="s">
        <v>250</v>
      </c>
      <c r="G66" s="7" t="s">
        <v>16</v>
      </c>
      <c r="H66" s="11" t="str">
        <f>HYPERLINK("http://www.usrc.it/AppRendiConta/DET_317_20150703.pdf","Determinazione USRC n.317 del 2015.pdf")</f>
        <v>Determinazione USRC n.317 del 2015.pdf</v>
      </c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>
      <c r="A67" s="7" t="s">
        <v>251</v>
      </c>
      <c r="B67" s="7" t="s">
        <v>252</v>
      </c>
      <c r="C67" s="8" t="s">
        <v>27</v>
      </c>
      <c r="D67" s="9" t="s">
        <v>14</v>
      </c>
      <c r="E67" s="10">
        <v>775.0</v>
      </c>
      <c r="F67" s="7" t="s">
        <v>253</v>
      </c>
      <c r="G67" s="7" t="s">
        <v>16</v>
      </c>
      <c r="H67" s="11" t="str">
        <f>HYPERLINK("http://www.usrc.it/AppRendiConta/DET_319_20150707.pdf","Determinazione USRC n.319 del 2015.pdf")</f>
        <v>Determinazione USRC n.319 del 2015.pdf</v>
      </c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>
      <c r="A68" s="7" t="s">
        <v>254</v>
      </c>
      <c r="B68" s="7" t="s">
        <v>255</v>
      </c>
      <c r="C68" s="8" t="s">
        <v>256</v>
      </c>
      <c r="D68" s="9" t="s">
        <v>32</v>
      </c>
      <c r="E68" s="10">
        <v>4865.0</v>
      </c>
      <c r="F68" s="7" t="s">
        <v>257</v>
      </c>
      <c r="G68" s="7" t="s">
        <v>16</v>
      </c>
      <c r="H68" s="11" t="str">
        <f>HYPERLINK("http://www.usrc.it/AppRendiConta/DET_345_20150717.pdf","Determinazione USRC n.345 del 2015.pdf")</f>
        <v>Determinazione USRC n.345 del 2015.pdf</v>
      </c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>
      <c r="A69" s="7" t="s">
        <v>258</v>
      </c>
      <c r="B69" s="7" t="s">
        <v>259</v>
      </c>
      <c r="C69" s="16" t="s">
        <v>215</v>
      </c>
      <c r="D69" s="9" t="s">
        <v>14</v>
      </c>
      <c r="E69" s="10">
        <v>5435.0</v>
      </c>
      <c r="F69" s="7" t="s">
        <v>260</v>
      </c>
      <c r="G69" s="7" t="s">
        <v>16</v>
      </c>
      <c r="H69" s="11" t="str">
        <f>HYPERLINK("http://www.usrc.it/AppRendiConta/DET_360_20150723.pdf","Determinazione USRC n.360 del 2015.pdf")</f>
        <v>Determinazione USRC n.360 del 2015.pdf</v>
      </c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>
      <c r="A70" s="7" t="s">
        <v>261</v>
      </c>
      <c r="B70" s="7" t="s">
        <v>262</v>
      </c>
      <c r="C70" s="8" t="s">
        <v>108</v>
      </c>
      <c r="D70" s="9" t="s">
        <v>14</v>
      </c>
      <c r="E70" s="10">
        <v>12064.45</v>
      </c>
      <c r="F70" s="7" t="s">
        <v>263</v>
      </c>
      <c r="G70" s="7" t="s">
        <v>16</v>
      </c>
      <c r="H70" s="11" t="str">
        <f>HYPERLINK("http://www.usrc.it/AppRendiConta/det_534_20151026.pdf","Determinazione USRC n.534 del 2015.pdf")</f>
        <v>Determinazione USRC n.534 del 2015.pdf</v>
      </c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>
      <c r="A71" s="7" t="s">
        <v>239</v>
      </c>
      <c r="B71" s="7" t="s">
        <v>240</v>
      </c>
      <c r="C71" s="16" t="s">
        <v>241</v>
      </c>
      <c r="D71" s="9" t="s">
        <v>14</v>
      </c>
      <c r="E71" s="10">
        <v>9600.0</v>
      </c>
      <c r="F71" s="7" t="s">
        <v>264</v>
      </c>
      <c r="G71" s="7" t="s">
        <v>16</v>
      </c>
      <c r="H71" s="11" t="str">
        <f>HYPERLINK("http://www.usrc.it/AppRendiConta/det_559_20151103.pdf","Determinazione USRC n.559 del 2105.pdf")</f>
        <v>Determinazione USRC n.559 del 2105.pdf</v>
      </c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>
      <c r="A72" s="7" t="s">
        <v>239</v>
      </c>
      <c r="B72" s="7" t="s">
        <v>240</v>
      </c>
      <c r="C72" s="16" t="s">
        <v>241</v>
      </c>
      <c r="D72" s="9" t="s">
        <v>14</v>
      </c>
      <c r="E72" s="10">
        <v>15640.0</v>
      </c>
      <c r="F72" s="7" t="s">
        <v>265</v>
      </c>
      <c r="G72" s="7" t="s">
        <v>16</v>
      </c>
      <c r="H72" s="11" t="str">
        <f>HYPERLINK("http://www.usrc.it/AppRendiConta/det_560_20151105.pdf","Determinazione USRC n.560 del 2105.pdf")</f>
        <v>Determinazione USRC n.560 del 2105.pdf</v>
      </c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>
      <c r="A73" s="7" t="s">
        <v>95</v>
      </c>
      <c r="B73" s="7" t="s">
        <v>96</v>
      </c>
      <c r="C73" s="16" t="s">
        <v>97</v>
      </c>
      <c r="D73" s="9" t="s">
        <v>32</v>
      </c>
      <c r="E73" s="10">
        <v>1575.3</v>
      </c>
      <c r="F73" s="7" t="s">
        <v>266</v>
      </c>
      <c r="G73" s="7" t="s">
        <v>16</v>
      </c>
      <c r="H73" s="11" t="str">
        <f>HYPERLINK("http://www.usrc.it/AppRendiConta/det_584_20151113.pdf","Determinazione USRC n.584 del 2015.pdf")</f>
        <v>Determinazione USRC n.584 del 2015.pdf</v>
      </c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>
      <c r="A74" s="7" t="s">
        <v>95</v>
      </c>
      <c r="B74" s="7" t="s">
        <v>96</v>
      </c>
      <c r="C74" s="16" t="s">
        <v>97</v>
      </c>
      <c r="D74" s="9" t="s">
        <v>32</v>
      </c>
      <c r="E74" s="10">
        <v>175.34</v>
      </c>
      <c r="F74" s="7" t="s">
        <v>267</v>
      </c>
      <c r="G74" s="7" t="s">
        <v>16</v>
      </c>
      <c r="H74" s="11" t="str">
        <f>HYPERLINK("http://www.usrc.it/AppRendiConta/det_585_20151113.pdf","Determinazione USRC n.585 del 2015.pdf")</f>
        <v>Determinazione USRC n.585 del 2015.pdf</v>
      </c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>
      <c r="A75" s="7" t="s">
        <v>268</v>
      </c>
      <c r="B75" s="7" t="s">
        <v>269</v>
      </c>
      <c r="C75" s="8">
        <v>9.7103880585E10</v>
      </c>
      <c r="D75" s="9" t="s">
        <v>14</v>
      </c>
      <c r="E75" s="10">
        <v>288.66</v>
      </c>
      <c r="F75" s="7" t="s">
        <v>270</v>
      </c>
      <c r="G75" s="7" t="s">
        <v>16</v>
      </c>
      <c r="H75" s="11" t="str">
        <f>HYPERLINK("http://www.usrc.it/AppRendiConta/det_595_20151117.pdf","Determinazione USRC n.595 del 2015.pdf")</f>
        <v>Determinazione USRC n.595 del 2015.pdf</v>
      </c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>
      <c r="A76" s="7" t="s">
        <v>271</v>
      </c>
      <c r="B76" s="7" t="s">
        <v>130</v>
      </c>
      <c r="C76" s="16" t="s">
        <v>131</v>
      </c>
      <c r="D76" s="9" t="s">
        <v>32</v>
      </c>
      <c r="E76" s="10">
        <v>64.0</v>
      </c>
      <c r="F76" s="7" t="s">
        <v>272</v>
      </c>
      <c r="G76" s="7" t="s">
        <v>16</v>
      </c>
      <c r="H76" s="11" t="str">
        <f>HYPERLINK("http://www.usrc.it/AppRendiConta/det_597_20151117.pdf","Determinazione USRC n.597 del 2015.pdf")</f>
        <v>Determinazione USRC n.597 del 2015.pdf</v>
      </c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>
      <c r="A77" s="7" t="s">
        <v>273</v>
      </c>
      <c r="B77" s="7" t="s">
        <v>107</v>
      </c>
      <c r="C77" s="16" t="s">
        <v>108</v>
      </c>
      <c r="D77" s="9" t="s">
        <v>14</v>
      </c>
      <c r="E77" s="10">
        <v>9889.89</v>
      </c>
      <c r="F77" s="7" t="s">
        <v>274</v>
      </c>
      <c r="G77" s="7" t="s">
        <v>16</v>
      </c>
      <c r="H77" s="11" t="str">
        <f>HYPERLINK("http://www.usrc.it/AppRendiConta/det_607_20151120.pdf","Determinazione USRC n.607 del 2015.pdf")</f>
        <v>Determinazione USRC n.607 del 2015.pdf</v>
      </c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>
      <c r="A78" s="7" t="s">
        <v>275</v>
      </c>
      <c r="B78" s="7" t="s">
        <v>276</v>
      </c>
      <c r="C78" s="16" t="s">
        <v>277</v>
      </c>
      <c r="D78" s="9" t="s">
        <v>32</v>
      </c>
      <c r="E78" s="10">
        <v>183.3</v>
      </c>
      <c r="F78" s="7" t="s">
        <v>278</v>
      </c>
      <c r="G78" s="7" t="s">
        <v>16</v>
      </c>
      <c r="H78" s="11" t="str">
        <f>HYPERLINK("http://www.usrc.it/AppRendiConta/det_608_20151120.pdf","Determinazione USRC n.608 del 2015.pdf")</f>
        <v>Determinazione USRC n.608 del 2015.pdf</v>
      </c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>
      <c r="A79" s="7" t="s">
        <v>279</v>
      </c>
      <c r="B79" s="7" t="s">
        <v>114</v>
      </c>
      <c r="C79" s="16" t="s">
        <v>115</v>
      </c>
      <c r="D79" s="9" t="s">
        <v>14</v>
      </c>
      <c r="E79" s="10">
        <v>3581.0</v>
      </c>
      <c r="F79" s="7" t="s">
        <v>280</v>
      </c>
      <c r="G79" s="7" t="s">
        <v>16</v>
      </c>
      <c r="H79" s="11" t="str">
        <f>HYPERLINK("http://www.usrc.it/AppRendiConta/det_611_20151124.pdf","Determinazione USRC n.611 del 2015.pdf")</f>
        <v>Determinazione USRC n.611 del 2015.pdf</v>
      </c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>
      <c r="A80" s="7" t="s">
        <v>281</v>
      </c>
      <c r="B80" s="7" t="s">
        <v>259</v>
      </c>
      <c r="C80" s="8" t="s">
        <v>282</v>
      </c>
      <c r="D80" s="9" t="s">
        <v>14</v>
      </c>
      <c r="E80" s="10">
        <v>5270.4</v>
      </c>
      <c r="F80" s="7" t="s">
        <v>283</v>
      </c>
      <c r="G80" s="7" t="s">
        <v>16</v>
      </c>
      <c r="H80" s="11" t="str">
        <f>HYPERLINK("http://www.usrc.it/AppRendiConta/det_613_20151124.pdf","Determinazione USRC n.613 del 2015.pdf")</f>
        <v>Determinazione USRC n.613 del 2015.pdf</v>
      </c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>
      <c r="A81" s="7" t="s">
        <v>284</v>
      </c>
      <c r="B81" s="7" t="s">
        <v>285</v>
      </c>
      <c r="C81" s="16" t="s">
        <v>182</v>
      </c>
      <c r="D81" s="9" t="s">
        <v>14</v>
      </c>
      <c r="E81" s="10">
        <v>2785.6</v>
      </c>
      <c r="F81" s="7" t="s">
        <v>286</v>
      </c>
      <c r="G81" s="7" t="s">
        <v>16</v>
      </c>
      <c r="H81" s="11" t="str">
        <f>HYPERLINK("http://www.usrc.it/AppRendiConta/det_614_20151124.pdf","Determinazione USRC n.614 del 2015.pdf")</f>
        <v>Determinazione USRC n.614 del 2015.pdf</v>
      </c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>
      <c r="A82" s="7" t="s">
        <v>287</v>
      </c>
      <c r="B82" s="7" t="s">
        <v>218</v>
      </c>
      <c r="C82" s="8" t="s">
        <v>288</v>
      </c>
      <c r="D82" s="9" t="s">
        <v>289</v>
      </c>
      <c r="E82" s="10">
        <v>14000.0</v>
      </c>
      <c r="F82" s="7" t="s">
        <v>290</v>
      </c>
      <c r="G82" s="7" t="s">
        <v>16</v>
      </c>
      <c r="H82" s="11" t="str">
        <f>HYPERLINK("http://www.usrc.it/AppRendiConta/det_615_20151125.pdf","Determinazione USRC n.615 del 2015.pdf")</f>
        <v>Determinazione USRC n.615 del 2015.pdf</v>
      </c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>
      <c r="A83" s="7" t="s">
        <v>291</v>
      </c>
      <c r="B83" s="7" t="s">
        <v>292</v>
      </c>
      <c r="C83" s="8" t="s">
        <v>256</v>
      </c>
      <c r="D83" s="9" t="s">
        <v>32</v>
      </c>
      <c r="E83" s="10">
        <v>5505.0</v>
      </c>
      <c r="F83" s="7" t="s">
        <v>293</v>
      </c>
      <c r="G83" s="7" t="s">
        <v>16</v>
      </c>
      <c r="H83" s="11" t="str">
        <f>HYPERLINK("http://www.usrc.it/AppRendiConta/det_621_20151125.pdf","Determinazione USRC n.621 del 2015.pdf")</f>
        <v>Determinazione USRC n.621 del 2015.pdf</v>
      </c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>
      <c r="A84" s="7" t="s">
        <v>294</v>
      </c>
      <c r="B84" s="7" t="s">
        <v>186</v>
      </c>
      <c r="C84" s="8" t="s">
        <v>187</v>
      </c>
      <c r="D84" s="9" t="s">
        <v>32</v>
      </c>
      <c r="E84" s="10">
        <v>845.0</v>
      </c>
      <c r="F84" s="7" t="s">
        <v>295</v>
      </c>
      <c r="G84" s="7" t="s">
        <v>16</v>
      </c>
      <c r="H84" s="11" t="str">
        <f>HYPERLINK("http://www.usrc.it/AppRendiConta/det_629_20151126.pdf","Determinazione USRC n.629 del 2015.pdf")</f>
        <v>Determinazione USRC n.629 del 2015.pdf</v>
      </c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>
      <c r="A85" s="7" t="s">
        <v>296</v>
      </c>
      <c r="B85" s="7" t="s">
        <v>297</v>
      </c>
      <c r="C85" s="8" t="s">
        <v>298</v>
      </c>
      <c r="D85" s="9" t="s">
        <v>32</v>
      </c>
      <c r="E85" s="10">
        <v>977.08</v>
      </c>
      <c r="F85" s="7" t="s">
        <v>299</v>
      </c>
      <c r="G85" s="7" t="s">
        <v>16</v>
      </c>
      <c r="H85" s="11" t="str">
        <f>HYPERLINK("http://www.usrc.it/AppRendiConta/det_630_20151126.pdf","Determinazione USRC n.630 del 2015.pdf")</f>
        <v>Determinazione USRC n.630 del 2015.pdf</v>
      </c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>
      <c r="A86" s="7" t="s">
        <v>273</v>
      </c>
      <c r="B86" s="7" t="s">
        <v>107</v>
      </c>
      <c r="C86" s="8" t="s">
        <v>108</v>
      </c>
      <c r="D86" s="9" t="s">
        <v>14</v>
      </c>
      <c r="E86" s="10">
        <v>9889.89</v>
      </c>
      <c r="F86" s="7" t="s">
        <v>300</v>
      </c>
      <c r="G86" s="7" t="s">
        <v>16</v>
      </c>
      <c r="H86" s="11" t="str">
        <f>HYPERLINK("http://www.usrc.it/AppRendiConta/det_631_20151126.pdf","Determinazione USRC n.631 del 2015.pdf")</f>
        <v>Determinazione USRC n.631 del 2015.pdf</v>
      </c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>
      <c r="A87" s="7" t="s">
        <v>206</v>
      </c>
      <c r="B87" s="7" t="s">
        <v>80</v>
      </c>
      <c r="C87" s="8" t="s">
        <v>81</v>
      </c>
      <c r="D87" s="9" t="s">
        <v>32</v>
      </c>
      <c r="E87" s="10">
        <v>462.33</v>
      </c>
      <c r="F87" s="7" t="s">
        <v>301</v>
      </c>
      <c r="G87" s="7" t="s">
        <v>16</v>
      </c>
      <c r="H87" s="11" t="str">
        <f>HYPERLINK("http://www.usrc.it/AppRendiConta/det_632_20151126.pdf","Determinazione USRC n.632 del 2015.pdf")</f>
        <v>Determinazione USRC n.632 del 2015.pdf</v>
      </c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>
      <c r="A88" s="7" t="s">
        <v>95</v>
      </c>
      <c r="B88" s="7" t="s">
        <v>96</v>
      </c>
      <c r="C88" s="8" t="s">
        <v>97</v>
      </c>
      <c r="D88" s="9" t="s">
        <v>32</v>
      </c>
      <c r="E88" s="10">
        <v>470.64</v>
      </c>
      <c r="F88" s="7" t="s">
        <v>302</v>
      </c>
      <c r="G88" s="7" t="s">
        <v>16</v>
      </c>
      <c r="H88" s="11" t="str">
        <f>HYPERLINK("http://www.usrc.it/AppRendiConta/det_633_20151126.pdf","Determinazione USRC n.633 del 2015.pdf")</f>
        <v>Determinazione USRC n.633 del 2015.pdf</v>
      </c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>
      <c r="A89" s="7" t="s">
        <v>95</v>
      </c>
      <c r="B89" s="7" t="s">
        <v>96</v>
      </c>
      <c r="C89" s="8" t="s">
        <v>97</v>
      </c>
      <c r="D89" s="9" t="s">
        <v>32</v>
      </c>
      <c r="E89" s="10">
        <v>148.19</v>
      </c>
      <c r="F89" s="7" t="s">
        <v>303</v>
      </c>
      <c r="G89" s="7" t="s">
        <v>16</v>
      </c>
      <c r="H89" s="11" t="str">
        <f>HYPERLINK("http://www.usrc.it/AppRendiConta/det_634_20151126.pdf","Determinazione USRC n.634 del 2015.pdf")</f>
        <v>Determinazione USRC n.634 del 2015.pdf</v>
      </c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>
      <c r="A90" s="7" t="s">
        <v>304</v>
      </c>
      <c r="B90" s="7" t="s">
        <v>114</v>
      </c>
      <c r="C90" s="8" t="s">
        <v>115</v>
      </c>
      <c r="D90" s="9" t="s">
        <v>14</v>
      </c>
      <c r="E90" s="10">
        <v>9000.0</v>
      </c>
      <c r="F90" s="7" t="s">
        <v>305</v>
      </c>
      <c r="G90" s="7" t="s">
        <v>16</v>
      </c>
      <c r="H90" s="11" t="str">
        <f>HYPERLINK("http://www.usrc.it/AppRendiConta/det_638_20151124.pdf","Determinazione USRC n.638 del 2015.pdf")</f>
        <v>Determinazione USRC n.638 del 2015.pdf</v>
      </c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>
      <c r="A91" s="7" t="s">
        <v>306</v>
      </c>
      <c r="B91" s="7" t="s">
        <v>194</v>
      </c>
      <c r="C91" s="8" t="s">
        <v>195</v>
      </c>
      <c r="D91" s="9" t="s">
        <v>14</v>
      </c>
      <c r="E91" s="10">
        <v>8432.64</v>
      </c>
      <c r="F91" s="7" t="s">
        <v>307</v>
      </c>
      <c r="G91" s="7" t="s">
        <v>16</v>
      </c>
      <c r="H91" s="11" t="str">
        <f>HYPERLINK("http://www.usrc.it/AppRendiConta/det_639_20151124.pdf","Determinazione USRC n.639 del 2015.pdf")</f>
        <v>Determinazione USRC n.639 del 2015.pdf</v>
      </c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>
      <c r="A92" s="7" t="s">
        <v>308</v>
      </c>
      <c r="B92" s="7" t="s">
        <v>114</v>
      </c>
      <c r="C92" s="16" t="s">
        <v>115</v>
      </c>
      <c r="D92" s="9" t="s">
        <v>14</v>
      </c>
      <c r="E92" s="10">
        <v>252.0</v>
      </c>
      <c r="F92" s="7" t="s">
        <v>309</v>
      </c>
      <c r="G92" s="7" t="s">
        <v>16</v>
      </c>
      <c r="H92" s="11" t="str">
        <f>HYPERLINK("http://www.usrc.it/AppRendiConta/det_648_20151127.pdf","Determinazione USRC n.648 del 2015.pdf")</f>
        <v>Determinazione USRC n.648 del 2015.pdf</v>
      </c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>
      <c r="A93" s="7" t="s">
        <v>310</v>
      </c>
      <c r="B93" s="7" t="s">
        <v>311</v>
      </c>
      <c r="C93" s="8" t="s">
        <v>312</v>
      </c>
      <c r="D93" s="9" t="s">
        <v>313</v>
      </c>
      <c r="E93" s="10">
        <v>450.0</v>
      </c>
      <c r="F93" s="7" t="s">
        <v>314</v>
      </c>
      <c r="G93" s="7" t="s">
        <v>16</v>
      </c>
      <c r="H93" s="11" t="str">
        <f>HYPERLINK("http://www.usrc.it/AppRendiConta/det_649_20151127.pdf","Determinazione USRC n.649 del 2015.pdf")</f>
        <v>Determinazione USRC n.649 del 2015.pdf</v>
      </c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>
      <c r="A94" s="7" t="s">
        <v>315</v>
      </c>
      <c r="B94" s="7" t="s">
        <v>316</v>
      </c>
      <c r="C94" s="8" t="s">
        <v>20</v>
      </c>
      <c r="D94" s="9" t="s">
        <v>14</v>
      </c>
      <c r="E94" s="10">
        <v>1193.75</v>
      </c>
      <c r="F94" s="7" t="s">
        <v>317</v>
      </c>
      <c r="G94" s="7" t="s">
        <v>16</v>
      </c>
      <c r="H94" s="11" t="str">
        <f>HYPERLINK("http://www.usrc.it/AppRendiConta/det_650_20151127.pdf","Determinazione USRC n.650 del 2015.pdf")</f>
        <v>Determinazione USRC n.650 del 2015.pdf</v>
      </c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>
      <c r="A95" s="7" t="s">
        <v>318</v>
      </c>
      <c r="B95" s="7" t="s">
        <v>259</v>
      </c>
      <c r="C95" s="8" t="s">
        <v>215</v>
      </c>
      <c r="D95" s="9" t="s">
        <v>14</v>
      </c>
      <c r="E95" s="10">
        <v>4063.96</v>
      </c>
      <c r="F95" s="7" t="s">
        <v>319</v>
      </c>
      <c r="G95" s="7" t="s">
        <v>16</v>
      </c>
      <c r="H95" s="11" t="str">
        <f>HYPERLINK("http://www.usrc.it/AppRendiConta/det_652_20151127.pdf","Determinazione USRC n.652 del 2015.pdf")</f>
        <v>Determinazione USRC n.652 del 2015.pdf</v>
      </c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>
      <c r="A96" s="7" t="s">
        <v>320</v>
      </c>
      <c r="B96" s="7" t="s">
        <v>218</v>
      </c>
      <c r="C96" s="8" t="s">
        <v>321</v>
      </c>
      <c r="D96" s="9" t="s">
        <v>289</v>
      </c>
      <c r="E96" s="10">
        <v>7612.8</v>
      </c>
      <c r="F96" s="7" t="s">
        <v>322</v>
      </c>
      <c r="G96" s="7" t="s">
        <v>16</v>
      </c>
      <c r="H96" s="11" t="str">
        <f>HYPERLINK("http://www.usrc.it/AppRendiConta/det_653_20151130.pdf","Determinazione USRC n.653 del 2015.pdf")</f>
        <v>Determinazione USRC n.653 del 2015.pdf</v>
      </c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>
      <c r="A97" s="7" t="s">
        <v>323</v>
      </c>
      <c r="B97" s="7" t="s">
        <v>324</v>
      </c>
      <c r="C97" s="8" t="s">
        <v>325</v>
      </c>
      <c r="D97" s="9" t="s">
        <v>85</v>
      </c>
      <c r="E97" s="10">
        <v>2259.58</v>
      </c>
      <c r="F97" s="7" t="s">
        <v>326</v>
      </c>
      <c r="G97" s="7" t="s">
        <v>16</v>
      </c>
      <c r="H97" s="11" t="str">
        <f>HYPERLINK("http://www.usrc.it/AppRendiConta/det_662_20151217.pdf","Determinazione USRC n.662 del 2015.pdf")</f>
        <v>Determinazione USRC n.662 del 2015.pdf</v>
      </c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>
      <c r="A98" s="7" t="s">
        <v>95</v>
      </c>
      <c r="B98" s="7" t="s">
        <v>96</v>
      </c>
      <c r="C98" s="8" t="s">
        <v>97</v>
      </c>
      <c r="D98" s="9" t="s">
        <v>32</v>
      </c>
      <c r="E98" s="10">
        <v>447.05</v>
      </c>
      <c r="F98" s="7" t="s">
        <v>327</v>
      </c>
      <c r="G98" s="7" t="s">
        <v>16</v>
      </c>
      <c r="H98" s="11" t="str">
        <f>HYPERLINK("http://www.usrc.it/AppRendiConta/det_671_20151218.pdf","Determinazione USRC n.671 del 2015.pdf")</f>
        <v>Determinazione USRC n.671 del 2015.pdf</v>
      </c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>
      <c r="A99" s="7" t="s">
        <v>95</v>
      </c>
      <c r="B99" s="7" t="s">
        <v>96</v>
      </c>
      <c r="C99" s="8" t="s">
        <v>97</v>
      </c>
      <c r="D99" s="9" t="s">
        <v>32</v>
      </c>
      <c r="E99" s="10">
        <v>191.61</v>
      </c>
      <c r="F99" s="7" t="s">
        <v>328</v>
      </c>
      <c r="G99" s="7" t="s">
        <v>16</v>
      </c>
      <c r="H99" s="11" t="str">
        <f>HYPERLINK("http://www.usrc.it/AppRendiConta/det_672_20151218.pdf","Determinazione USRC n.672 del 2015.pdf")</f>
        <v>Determinazione USRC n.672 del 2015.pdf</v>
      </c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>
      <c r="A100" s="7" t="s">
        <v>329</v>
      </c>
      <c r="B100" s="7" t="s">
        <v>330</v>
      </c>
      <c r="C100" s="8" t="s">
        <v>331</v>
      </c>
      <c r="D100" s="9" t="s">
        <v>14</v>
      </c>
      <c r="E100" s="10">
        <v>39000.0</v>
      </c>
      <c r="F100" s="7" t="s">
        <v>332</v>
      </c>
      <c r="G100" s="7" t="s">
        <v>16</v>
      </c>
      <c r="H100" s="11" t="str">
        <f>HYPERLINK("http://www.usrc.it/AppRendiConta/det_675_20151229.pdf","Determinazione USRC n.675 del 2015.pdf")</f>
        <v>Determinazione USRC n.675 del 2015.pdf</v>
      </c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>
      <c r="A101" s="7" t="s">
        <v>333</v>
      </c>
      <c r="B101" s="7" t="s">
        <v>334</v>
      </c>
      <c r="C101" s="8" t="s">
        <v>335</v>
      </c>
      <c r="D101" s="9" t="s">
        <v>32</v>
      </c>
      <c r="E101" s="10">
        <v>9967.6</v>
      </c>
      <c r="F101" s="7" t="s">
        <v>336</v>
      </c>
      <c r="G101" s="7" t="s">
        <v>16</v>
      </c>
      <c r="H101" s="11" t="str">
        <f>HYPERLINK("http://www.usrc.it/AppRendiConta/det_34_20160317","Determinazione USRC n.34 del 2016.pdf")</f>
        <v>Determinazione USRC n.34 del 2016.pdf</v>
      </c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>
      <c r="A102" s="7" t="s">
        <v>337</v>
      </c>
      <c r="B102" s="7" t="s">
        <v>96</v>
      </c>
      <c r="C102" s="8" t="s">
        <v>97</v>
      </c>
      <c r="D102" s="9" t="s">
        <v>32</v>
      </c>
      <c r="E102" s="10">
        <v>1325.11</v>
      </c>
      <c r="F102" s="7" t="s">
        <v>338</v>
      </c>
      <c r="G102" s="7" t="s">
        <v>16</v>
      </c>
      <c r="H102" s="11" t="str">
        <f>HYPERLINK("http://www.usrc.it/AppRendiConta/det_35_20160317","Determinazione USRC n.35 del 2016.pdf")</f>
        <v>Determinazione USRC n.35 del 2016.pdf</v>
      </c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>
      <c r="A103" s="7" t="s">
        <v>339</v>
      </c>
      <c r="B103" s="7" t="s">
        <v>340</v>
      </c>
      <c r="C103" s="8" t="s">
        <v>341</v>
      </c>
      <c r="D103" s="9" t="s">
        <v>14</v>
      </c>
      <c r="E103" s="10">
        <v>1000.0</v>
      </c>
      <c r="F103" s="7" t="s">
        <v>342</v>
      </c>
      <c r="G103" s="7" t="s">
        <v>16</v>
      </c>
      <c r="H103" s="11" t="str">
        <f>HYPERLINK("http://www.usrc.it/AppRendiConta/det_122_20160401","Determinazione USRC n.122 del 2016.pdf")</f>
        <v>Determinazione USRC n.122 del 2016.pdf</v>
      </c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>
      <c r="A104" s="7" t="s">
        <v>343</v>
      </c>
      <c r="B104" s="7" t="s">
        <v>75</v>
      </c>
      <c r="C104" s="8" t="s">
        <v>76</v>
      </c>
      <c r="D104" s="9" t="s">
        <v>14</v>
      </c>
      <c r="E104" s="10">
        <v>6573.24</v>
      </c>
      <c r="F104" s="7" t="s">
        <v>344</v>
      </c>
      <c r="G104" s="7" t="s">
        <v>16</v>
      </c>
      <c r="H104" s="11" t="str">
        <f>HYPERLINK("http://www.usrc.it/AppRendiConta/det_119_20160401","Determinazione USRC n.119 del 2016.pdf")</f>
        <v>Determinazione USRC n.119 del 2016.pdf</v>
      </c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>
      <c r="A105" s="7" t="s">
        <v>345</v>
      </c>
      <c r="B105" s="7" t="s">
        <v>346</v>
      </c>
      <c r="C105" s="8" t="s">
        <v>347</v>
      </c>
      <c r="D105" s="9" t="s">
        <v>14</v>
      </c>
      <c r="E105" s="10">
        <v>250.56</v>
      </c>
      <c r="F105" s="7" t="s">
        <v>348</v>
      </c>
      <c r="G105" s="7" t="s">
        <v>16</v>
      </c>
      <c r="H105" s="11" t="str">
        <f>HYPERLINK("http://www.usrc.it/AppRendiConta/det_150_20160413","Determinazione USRC n.150 del 2016.pdf")</f>
        <v>Determinazione USRC n.150 del 2016.pdf</v>
      </c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>
      <c r="A106" s="7" t="s">
        <v>349</v>
      </c>
      <c r="B106" s="7" t="s">
        <v>350</v>
      </c>
      <c r="C106" s="8" t="s">
        <v>298</v>
      </c>
      <c r="D106" s="9" t="s">
        <v>32</v>
      </c>
      <c r="E106" s="10">
        <v>1272.71</v>
      </c>
      <c r="F106" s="7" t="s">
        <v>351</v>
      </c>
      <c r="G106" s="7" t="s">
        <v>16</v>
      </c>
      <c r="H106" s="11" t="str">
        <f>HYPERLINK("http://www.usrc.it/AppRendiConta/Det_159_20160414","Determinazione USRC n.159 del 2016.pdf")</f>
        <v>Determinazione USRC n.159 del 2016.pdf</v>
      </c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>
      <c r="A107" s="7" t="s">
        <v>206</v>
      </c>
      <c r="B107" s="7" t="s">
        <v>80</v>
      </c>
      <c r="C107" s="8" t="s">
        <v>81</v>
      </c>
      <c r="D107" s="9" t="s">
        <v>32</v>
      </c>
      <c r="E107" s="10">
        <v>893.86</v>
      </c>
      <c r="F107" s="7" t="s">
        <v>352</v>
      </c>
      <c r="G107" s="7" t="s">
        <v>16</v>
      </c>
      <c r="H107" s="11" t="str">
        <f>HYPERLINK("http://www.usrc.it/AppRendiConta/Det_185_20160429","Determinazione USRC n.185 del 2016.pdf")</f>
        <v>Determinazione USRC n.185 del 2016.pdf</v>
      </c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>
      <c r="A108" s="7" t="s">
        <v>353</v>
      </c>
      <c r="B108" s="7" t="s">
        <v>354</v>
      </c>
      <c r="C108" s="8" t="s">
        <v>45</v>
      </c>
      <c r="D108" s="9" t="s">
        <v>14</v>
      </c>
      <c r="E108" s="10">
        <v>23945.86</v>
      </c>
      <c r="F108" s="7" t="s">
        <v>355</v>
      </c>
      <c r="G108" s="7" t="s">
        <v>16</v>
      </c>
      <c r="H108" s="11" t="str">
        <f>HYPERLINK("http://www.usrc.it/AppRendiConta/Det_191_20160504","Determinazione USRC n.191 del 2016.pdf")</f>
        <v>Determinazione USRC n.191 del 2016.pdf</v>
      </c>
      <c r="I108" s="17" t="s">
        <v>356</v>
      </c>
      <c r="J108" s="12"/>
      <c r="K108" s="12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>
      <c r="A109" s="7" t="s">
        <v>357</v>
      </c>
      <c r="B109" s="7" t="s">
        <v>240</v>
      </c>
      <c r="C109" s="16" t="s">
        <v>241</v>
      </c>
      <c r="D109" s="9" t="s">
        <v>14</v>
      </c>
      <c r="E109" s="10">
        <v>30866.0</v>
      </c>
      <c r="F109" s="7" t="s">
        <v>358</v>
      </c>
      <c r="G109" s="7" t="s">
        <v>16</v>
      </c>
      <c r="H109" s="11" t="str">
        <f>HYPERLINK("http://www.usrc.it/AppRendiConta/det_203_20160509","Determinazione USRC n.203 del 2016.pdf")</f>
        <v>Determinazione USRC n.203 del 2016.pdf</v>
      </c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>
      <c r="A110" s="7" t="s">
        <v>343</v>
      </c>
      <c r="B110" s="7" t="s">
        <v>75</v>
      </c>
      <c r="C110" s="8" t="s">
        <v>76</v>
      </c>
      <c r="D110" s="9" t="s">
        <v>14</v>
      </c>
      <c r="E110" s="10">
        <v>1643.31</v>
      </c>
      <c r="F110" s="7" t="s">
        <v>359</v>
      </c>
      <c r="G110" s="7" t="s">
        <v>16</v>
      </c>
      <c r="H110" s="11" t="str">
        <f>HYPERLINK("http://www.usrc.it/AppRendiConta/det_230_20160519","Determinazione USRC n.230 del 2016.pdf")</f>
        <v>Determinazione USRC n.230 del 2016.pdf</v>
      </c>
      <c r="I110" s="17" t="s">
        <v>356</v>
      </c>
      <c r="J110" s="12"/>
      <c r="K110" s="12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>
      <c r="A111" s="7" t="s">
        <v>360</v>
      </c>
      <c r="B111" s="7" t="s">
        <v>96</v>
      </c>
      <c r="C111" s="16" t="s">
        <v>97</v>
      </c>
      <c r="D111" s="9" t="s">
        <v>32</v>
      </c>
      <c r="E111" s="10">
        <v>2733.81</v>
      </c>
      <c r="F111" s="7" t="s">
        <v>361</v>
      </c>
      <c r="G111" s="7" t="s">
        <v>16</v>
      </c>
      <c r="H111" s="11" t="str">
        <f>HYPERLINK("http://www.usrc.it/AppRendiConta/det_266_20160531","Determinazione USRC n.266 del 2016.pdf")</f>
        <v>Determinazione USRC n.266 del 2016.pdf</v>
      </c>
      <c r="I111" s="17" t="s">
        <v>356</v>
      </c>
      <c r="J111" s="12"/>
      <c r="K111" s="12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>
      <c r="A112" s="7" t="s">
        <v>362</v>
      </c>
      <c r="B112" s="7" t="s">
        <v>363</v>
      </c>
      <c r="C112" s="8" t="s">
        <v>115</v>
      </c>
      <c r="D112" s="9" t="s">
        <v>14</v>
      </c>
      <c r="E112" s="10">
        <v>3581.0</v>
      </c>
      <c r="F112" s="7" t="s">
        <v>364</v>
      </c>
      <c r="G112" s="7" t="s">
        <v>16</v>
      </c>
      <c r="H112" s="11" t="str">
        <f>HYPERLINK("http://www.usrc.it/AppRendiConta/det_330_20160621.pdf","Determinazione USRC n.330 del 2016.pdf")</f>
        <v>Determinazione USRC n.330 del 2016.pdf</v>
      </c>
      <c r="I112" s="17" t="s">
        <v>356</v>
      </c>
      <c r="J112" s="12"/>
      <c r="K112" s="12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>
      <c r="A113" s="7" t="s">
        <v>365</v>
      </c>
      <c r="B113" s="7" t="s">
        <v>366</v>
      </c>
      <c r="C113" s="8" t="s">
        <v>367</v>
      </c>
      <c r="D113" s="9" t="s">
        <v>14</v>
      </c>
      <c r="E113" s="10">
        <v>231.06</v>
      </c>
      <c r="F113" s="7" t="s">
        <v>368</v>
      </c>
      <c r="G113" s="7" t="s">
        <v>16</v>
      </c>
      <c r="H113" s="11" t="str">
        <f>HYPERLINK("http://www.usrc.it/AppRendiConta/det_355_20160627.pdf","Determinazione USRC n.355 del 2016.pdf")</f>
        <v>Determinazione USRC n.355 del 2016.pdf</v>
      </c>
      <c r="I113" s="17" t="s">
        <v>356</v>
      </c>
      <c r="J113" s="12"/>
      <c r="K113" s="12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>
      <c r="A114" s="7" t="s">
        <v>369</v>
      </c>
      <c r="B114" s="7" t="s">
        <v>370</v>
      </c>
      <c r="C114" s="8" t="s">
        <v>371</v>
      </c>
      <c r="D114" s="9" t="s">
        <v>14</v>
      </c>
      <c r="E114" s="10">
        <v>380.0</v>
      </c>
      <c r="F114" s="7" t="s">
        <v>372</v>
      </c>
      <c r="G114" s="7" t="s">
        <v>16</v>
      </c>
      <c r="H114" s="11" t="str">
        <f>HYPERLINK("http://www.usrc.it/AppRendiConta/det_356_20160627.pdf","Determinazione USRC n.356 del 2016.pdf")</f>
        <v>Determinazione USRC n.356 del 2016.pdf</v>
      </c>
      <c r="I114" s="17" t="s">
        <v>356</v>
      </c>
      <c r="J114" s="12"/>
      <c r="K114" s="12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>
      <c r="A115" s="7" t="s">
        <v>373</v>
      </c>
      <c r="B115" s="7" t="s">
        <v>75</v>
      </c>
      <c r="C115" s="8" t="s">
        <v>76</v>
      </c>
      <c r="D115" s="9" t="s">
        <v>14</v>
      </c>
      <c r="E115" s="10">
        <v>1650.81</v>
      </c>
      <c r="F115" s="7" t="s">
        <v>374</v>
      </c>
      <c r="G115" s="7" t="s">
        <v>16</v>
      </c>
      <c r="H115" s="11" t="str">
        <f>HYPERLINK("http://www.usrc.it/AppRendiConta/det_366_20160701.pdf","Determinazione USRC n.366 del 2016.pdf")</f>
        <v>Determinazione USRC n.366 del 2016.pdf</v>
      </c>
      <c r="I115" s="17" t="s">
        <v>356</v>
      </c>
      <c r="J115" s="12"/>
      <c r="K115" s="12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>
      <c r="A116" s="7" t="s">
        <v>375</v>
      </c>
      <c r="B116" s="7" t="s">
        <v>346</v>
      </c>
      <c r="C116" s="8" t="s">
        <v>347</v>
      </c>
      <c r="D116" s="9" t="s">
        <v>14</v>
      </c>
      <c r="E116" s="10">
        <v>123.2</v>
      </c>
      <c r="F116" s="7" t="s">
        <v>376</v>
      </c>
      <c r="G116" s="7" t="s">
        <v>16</v>
      </c>
      <c r="H116" s="11" t="str">
        <f>HYPERLINK("http://www.usrc.it/AppRendiConta/det_371_20160704.pdf","Determinazione USRC n.371 del 2016.pdf")</f>
        <v>Determinazione USRC n.371 del 2016.pdf</v>
      </c>
      <c r="I116" s="17" t="s">
        <v>356</v>
      </c>
      <c r="J116" s="12"/>
      <c r="K116" s="12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>
      <c r="A117" s="7" t="s">
        <v>377</v>
      </c>
      <c r="B117" s="7" t="s">
        <v>378</v>
      </c>
      <c r="C117" s="8" t="s">
        <v>31</v>
      </c>
      <c r="D117" s="9" t="s">
        <v>32</v>
      </c>
      <c r="E117" s="10">
        <v>255.0</v>
      </c>
      <c r="F117" s="7" t="s">
        <v>379</v>
      </c>
      <c r="G117" s="7" t="s">
        <v>16</v>
      </c>
      <c r="H117" s="11" t="str">
        <f>HYPERLINK("http://www.usrc.it/AppRendiConta/det_372_20160704.pdf","Determinazione USRC n.372 del 2016.pdf")</f>
        <v>Determinazione USRC n.372 del 2016.pdf</v>
      </c>
      <c r="I117" s="17"/>
      <c r="J117" s="12"/>
      <c r="K117" s="12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>
      <c r="A118" s="7" t="s">
        <v>333</v>
      </c>
      <c r="B118" s="7" t="s">
        <v>334</v>
      </c>
      <c r="C118" s="8" t="s">
        <v>335</v>
      </c>
      <c r="D118" s="9" t="s">
        <v>32</v>
      </c>
      <c r="E118" s="10">
        <v>6081.23</v>
      </c>
      <c r="F118" s="7" t="s">
        <v>380</v>
      </c>
      <c r="G118" s="7" t="s">
        <v>16</v>
      </c>
      <c r="H118" s="11" t="str">
        <f>HYPERLINK("http://www.usrc.it/AppRendiConta/det_374_20160705.pdf","Determinazione USRC n.374 del 2016.pdf")</f>
        <v>Determinazione USRC n.374 del 2016.pdf</v>
      </c>
      <c r="I118" s="17" t="s">
        <v>356</v>
      </c>
      <c r="J118" s="12"/>
      <c r="K118" s="12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>
      <c r="A119" s="7" t="s">
        <v>369</v>
      </c>
      <c r="B119" s="7" t="s">
        <v>370</v>
      </c>
      <c r="C119" s="8" t="s">
        <v>371</v>
      </c>
      <c r="D119" s="9" t="s">
        <v>14</v>
      </c>
      <c r="E119" s="10">
        <v>380.0</v>
      </c>
      <c r="F119" s="7" t="s">
        <v>381</v>
      </c>
      <c r="G119" s="7" t="s">
        <v>16</v>
      </c>
      <c r="H119" s="11" t="str">
        <f>HYPERLINK("http://www.usrc.it/AppRendiConta/det_375_20160705.pdf","Determinazione USRC n.375 del 2016.pdf")</f>
        <v>Determinazione USRC n.375 del 2016.pdf</v>
      </c>
      <c r="I119" s="17" t="s">
        <v>356</v>
      </c>
      <c r="J119" s="12"/>
      <c r="K119" s="12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>
      <c r="A120" s="7" t="s">
        <v>382</v>
      </c>
      <c r="B120" s="7" t="s">
        <v>96</v>
      </c>
      <c r="C120" s="8" t="s">
        <v>383</v>
      </c>
      <c r="D120" s="9" t="s">
        <v>32</v>
      </c>
      <c r="E120" s="10">
        <v>955.24</v>
      </c>
      <c r="F120" s="7" t="s">
        <v>384</v>
      </c>
      <c r="G120" s="7" t="s">
        <v>16</v>
      </c>
      <c r="H120" s="11" t="str">
        <f>HYPERLINK("http://www.usrc.it/AppRendiConta/det_382_20160711.pdf","Determinazione USRC n.382 del 2016.pdf")</f>
        <v>Determinazione USRC n.382 del 2016.pdf</v>
      </c>
      <c r="I120" s="17"/>
      <c r="J120" s="12"/>
      <c r="K120" s="12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>
      <c r="A121" s="7" t="s">
        <v>385</v>
      </c>
      <c r="B121" s="7" t="s">
        <v>366</v>
      </c>
      <c r="C121" s="8" t="s">
        <v>367</v>
      </c>
      <c r="D121" s="9" t="s">
        <v>14</v>
      </c>
      <c r="E121" s="10">
        <v>450.5</v>
      </c>
      <c r="F121" s="7" t="s">
        <v>386</v>
      </c>
      <c r="G121" s="7" t="s">
        <v>16</v>
      </c>
      <c r="H121" s="11" t="str">
        <f>HYPERLINK("http://www.usrc.it/AppRendiConta/det_383_20160711.pdf","Determinazione USRC n.383 del 2016.pdf")</f>
        <v>Determinazione USRC n.383 del 2016.pdf</v>
      </c>
      <c r="I121" s="17"/>
      <c r="J121" s="12"/>
      <c r="K121" s="12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>
      <c r="A122" s="7" t="s">
        <v>387</v>
      </c>
      <c r="B122" s="7" t="s">
        <v>388</v>
      </c>
      <c r="C122" s="8" t="s">
        <v>277</v>
      </c>
      <c r="D122" s="9" t="s">
        <v>32</v>
      </c>
      <c r="E122" s="10">
        <v>186.6</v>
      </c>
      <c r="F122" s="7" t="s">
        <v>389</v>
      </c>
      <c r="G122" s="7" t="s">
        <v>16</v>
      </c>
      <c r="H122" s="11" t="str">
        <f>HYPERLINK("http://www.usrc.it/AppRendiConta/det_386_20160712.pdf","Determinazione USRC n.386 del 2016.pdf")</f>
        <v>Determinazione USRC n.386 del 2016.pdf</v>
      </c>
      <c r="I122" s="17" t="s">
        <v>356</v>
      </c>
      <c r="J122" s="12"/>
      <c r="K122" s="12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>
      <c r="A123" s="7" t="s">
        <v>390</v>
      </c>
      <c r="B123" s="7" t="s">
        <v>391</v>
      </c>
      <c r="C123" s="8">
        <v>1.419700669E9</v>
      </c>
      <c r="D123" s="9" t="s">
        <v>14</v>
      </c>
      <c r="E123" s="10">
        <v>600.0</v>
      </c>
      <c r="F123" s="7" t="s">
        <v>392</v>
      </c>
      <c r="G123" s="7" t="s">
        <v>16</v>
      </c>
      <c r="H123" s="11" t="str">
        <f>HYPERLINK("http://www.usrc.it/AppRendiConta/det_388_20160712.pdf","Determinazione USRC n.388 del 2016.pdf")</f>
        <v>Determinazione USRC n.388 del 2016.pdf</v>
      </c>
      <c r="I123" s="17" t="s">
        <v>356</v>
      </c>
      <c r="J123" s="12"/>
      <c r="K123" s="12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>
      <c r="A124" s="7" t="s">
        <v>393</v>
      </c>
      <c r="B124" s="7" t="s">
        <v>394</v>
      </c>
      <c r="C124" s="8">
        <v>4.8841001E8</v>
      </c>
      <c r="D124" s="9" t="s">
        <v>14</v>
      </c>
      <c r="E124" s="10">
        <v>2160.81</v>
      </c>
      <c r="F124" s="7" t="s">
        <v>395</v>
      </c>
      <c r="G124" s="7" t="s">
        <v>16</v>
      </c>
      <c r="H124" s="11" t="str">
        <f>HYPERLINK("http://www.usrc.it/AppRendiConta/det_389_20160712.pdf","Determinazione USRC n.389 del 2016.pdf")</f>
        <v>Determinazione USRC n.389 del 2016.pdf</v>
      </c>
      <c r="I124" s="17" t="s">
        <v>356</v>
      </c>
      <c r="J124" s="12"/>
      <c r="K124" s="12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>
      <c r="A125" s="7" t="s">
        <v>396</v>
      </c>
      <c r="B125" s="7" t="s">
        <v>394</v>
      </c>
      <c r="C125" s="8">
        <v>4.8841001E8</v>
      </c>
      <c r="D125" s="9" t="s">
        <v>14</v>
      </c>
      <c r="E125" s="10">
        <v>2115.63</v>
      </c>
      <c r="F125" s="7" t="s">
        <v>397</v>
      </c>
      <c r="G125" s="7" t="s">
        <v>16</v>
      </c>
      <c r="H125" s="11" t="str">
        <f>HYPERLINK("http://www.usrc.it/AppRendiConta/det_391_20160712.pdf","Determinazione USRC n.391 del 2016.pdf")</f>
        <v>Determinazione USRC n.391 del 2016.pdf</v>
      </c>
      <c r="I125" s="17" t="s">
        <v>356</v>
      </c>
      <c r="J125" s="12"/>
      <c r="K125" s="12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>
      <c r="A126" s="7" t="s">
        <v>398</v>
      </c>
      <c r="B126" s="7" t="s">
        <v>399</v>
      </c>
      <c r="C126" s="8">
        <v>6.18833015E9</v>
      </c>
      <c r="D126" s="9" t="s">
        <v>32</v>
      </c>
      <c r="E126" s="10">
        <v>56.28</v>
      </c>
      <c r="F126" s="7" t="s">
        <v>400</v>
      </c>
      <c r="G126" s="7" t="s">
        <v>16</v>
      </c>
      <c r="H126" s="11" t="str">
        <f>HYPERLINK("http://www.usrc.it/AppRendiConta/det_398_20160715.pdf","Determinazione USRC n.398 del 2016.pdf")</f>
        <v>Determinazione USRC n.398 del 2016.pdf</v>
      </c>
      <c r="I126" s="17" t="s">
        <v>356</v>
      </c>
      <c r="J126" s="12"/>
      <c r="K126" s="12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>
      <c r="A127" s="7" t="s">
        <v>401</v>
      </c>
      <c r="B127" s="7" t="s">
        <v>402</v>
      </c>
      <c r="C127" s="8">
        <v>5.059471002E9</v>
      </c>
      <c r="D127" s="9" t="s">
        <v>32</v>
      </c>
      <c r="E127" s="10">
        <v>205.15</v>
      </c>
      <c r="F127" s="7" t="s">
        <v>403</v>
      </c>
      <c r="G127" s="7" t="s">
        <v>16</v>
      </c>
      <c r="H127" s="11" t="str">
        <f>HYPERLINK("http://www.usrc.it/AppRendiConta/det_399_20160715.pdf","Determinazione USRC n.399 del 2016.pdf")</f>
        <v>Determinazione USRC n.399 del 2016.pdf</v>
      </c>
      <c r="I127" s="17" t="s">
        <v>356</v>
      </c>
      <c r="J127" s="12"/>
      <c r="K127" s="12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>
      <c r="A128" s="7" t="s">
        <v>404</v>
      </c>
      <c r="B128" s="7" t="s">
        <v>405</v>
      </c>
      <c r="C128" s="8" t="s">
        <v>195</v>
      </c>
      <c r="D128" s="9" t="s">
        <v>14</v>
      </c>
      <c r="E128" s="10">
        <v>2565.22</v>
      </c>
      <c r="F128" s="7" t="s">
        <v>406</v>
      </c>
      <c r="G128" s="7" t="s">
        <v>16</v>
      </c>
      <c r="H128" s="11" t="str">
        <f>HYPERLINK("http://www.usrc.it/AppRendiConta/det_403_20160719.pdf","Determinazione USRC n.403 del 2016.pdf")</f>
        <v>Determinazione USRC n.403 del 2016.pdf</v>
      </c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>
      <c r="A129" s="7" t="s">
        <v>407</v>
      </c>
      <c r="B129" s="7" t="s">
        <v>405</v>
      </c>
      <c r="C129" s="8" t="s">
        <v>195</v>
      </c>
      <c r="D129" s="9" t="s">
        <v>14</v>
      </c>
      <c r="E129" s="10">
        <v>540.0</v>
      </c>
      <c r="F129" s="7" t="s">
        <v>408</v>
      </c>
      <c r="G129" s="7" t="s">
        <v>16</v>
      </c>
      <c r="H129" s="11" t="str">
        <f>HYPERLINK("http://www.usrc.it/AppRendiConta/det_404_20160719.pdf","Determinazione USRC n.404 del 2016.pdf")</f>
        <v>Determinazione USRC n.404 del 2016.pdf</v>
      </c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>
      <c r="A130" s="7" t="s">
        <v>343</v>
      </c>
      <c r="B130" s="7" t="s">
        <v>75</v>
      </c>
      <c r="C130" s="8" t="s">
        <v>76</v>
      </c>
      <c r="D130" s="9" t="s">
        <v>14</v>
      </c>
      <c r="E130" s="10">
        <v>3286.62</v>
      </c>
      <c r="F130" s="7" t="s">
        <v>409</v>
      </c>
      <c r="G130" s="7" t="s">
        <v>16</v>
      </c>
      <c r="H130" s="11" t="str">
        <f>HYPERLINK("http://www.usrc.it/AppRendiConta/det_430_20160725.pdf","Determinazione USRC n.430 del 2016.pdf")</f>
        <v>Determinazione USRC n.430 del 2016.pdf</v>
      </c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>
      <c r="A131" s="7" t="s">
        <v>382</v>
      </c>
      <c r="B131" s="7" t="s">
        <v>96</v>
      </c>
      <c r="C131" s="8" t="s">
        <v>383</v>
      </c>
      <c r="D131" s="9" t="s">
        <v>32</v>
      </c>
      <c r="E131" s="10">
        <v>741.2</v>
      </c>
      <c r="F131" s="7" t="s">
        <v>410</v>
      </c>
      <c r="G131" s="7" t="s">
        <v>16</v>
      </c>
      <c r="H131" s="11" t="str">
        <f>HYPERLINK("http://www.usrc.it/AppRendiConta/det_432_20160725.pdf","Determinazione USRC n.432 del 2016.pdf")</f>
        <v>Determinazione USRC n.432 del 2016.pdf</v>
      </c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>
      <c r="A132" s="7" t="s">
        <v>411</v>
      </c>
      <c r="B132" s="7" t="s">
        <v>412</v>
      </c>
      <c r="C132" s="8" t="s">
        <v>413</v>
      </c>
      <c r="D132" s="9" t="s">
        <v>14</v>
      </c>
      <c r="E132" s="10">
        <v>849.0</v>
      </c>
      <c r="F132" s="7" t="s">
        <v>414</v>
      </c>
      <c r="G132" s="7" t="s">
        <v>16</v>
      </c>
      <c r="H132" s="11" t="str">
        <f>HYPERLINK("http://www.usrc.it/AppRendiConta/det_436_20160726.pdf","Determinazione USRC n.436 del 2016.pdf")</f>
        <v>Determinazione USRC n.436 del 2016.pdf</v>
      </c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>
      <c r="A133" s="7" t="s">
        <v>415</v>
      </c>
      <c r="B133" s="7" t="s">
        <v>416</v>
      </c>
      <c r="C133" s="8" t="s">
        <v>417</v>
      </c>
      <c r="D133" s="9" t="s">
        <v>14</v>
      </c>
      <c r="E133" s="10">
        <v>3662.9</v>
      </c>
      <c r="F133" s="7" t="s">
        <v>418</v>
      </c>
      <c r="G133" s="7" t="s">
        <v>419</v>
      </c>
      <c r="H133" s="11" t="str">
        <f>HYPERLINK("http://www.usrc.it/AppRendiConta/det_442_20160727.pdf","Determinazione USRC n.442 del 2016.pdf")</f>
        <v>Determinazione USRC n.442 del 2016.pdf</v>
      </c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>
      <c r="A134" s="7" t="s">
        <v>420</v>
      </c>
      <c r="B134" s="7" t="s">
        <v>416</v>
      </c>
      <c r="C134" s="8" t="s">
        <v>417</v>
      </c>
      <c r="D134" s="9" t="s">
        <v>14</v>
      </c>
      <c r="E134" s="10">
        <v>1528.98</v>
      </c>
      <c r="F134" s="7" t="s">
        <v>421</v>
      </c>
      <c r="G134" s="7" t="s">
        <v>419</v>
      </c>
      <c r="H134" s="11" t="str">
        <f>HYPERLINK("http://www.usrc.it/AppRendiConta/det_443_20160727.pdf","Determinazione USRC n.443 del 2016.pdf")</f>
        <v>Determinazione USRC n.443 del 2016.pdf</v>
      </c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>
      <c r="A135" s="7" t="s">
        <v>333</v>
      </c>
      <c r="B135" s="7" t="s">
        <v>334</v>
      </c>
      <c r="C135" s="8" t="s">
        <v>335</v>
      </c>
      <c r="D135" s="9" t="s">
        <v>32</v>
      </c>
      <c r="E135" s="10">
        <v>7090.0</v>
      </c>
      <c r="F135" s="7" t="s">
        <v>422</v>
      </c>
      <c r="G135" s="7" t="s">
        <v>423</v>
      </c>
      <c r="H135" s="11" t="str">
        <f>HYPERLINK("http://www.usrc.it/AppRendiConta/det_446_20160727.pdf","Determinazione USRC n.446 del 2016.pdf")</f>
        <v>Determinazione USRC n.446 del 2016.pdf</v>
      </c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>
      <c r="A136" s="7" t="s">
        <v>424</v>
      </c>
      <c r="B136" s="7" t="s">
        <v>425</v>
      </c>
      <c r="C136" s="8" t="s">
        <v>108</v>
      </c>
      <c r="D136" s="9" t="s">
        <v>14</v>
      </c>
      <c r="E136" s="10">
        <v>6647.0</v>
      </c>
      <c r="F136" s="7" t="s">
        <v>426</v>
      </c>
      <c r="G136" s="7" t="s">
        <v>16</v>
      </c>
      <c r="H136" s="11" t="str">
        <f>HYPERLINK("http://www.usrc.it/AppRendiConta/det_452_20160728.pdf","Determinazione USRC n.452 del 2016.pdf")</f>
        <v>Determinazione USRC n.452 del 2016.pdf</v>
      </c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>
      <c r="A137" s="7" t="s">
        <v>427</v>
      </c>
      <c r="B137" s="7" t="s">
        <v>91</v>
      </c>
      <c r="C137" s="8" t="s">
        <v>92</v>
      </c>
      <c r="D137" s="9" t="s">
        <v>14</v>
      </c>
      <c r="E137" s="10">
        <v>6600.0</v>
      </c>
      <c r="F137" s="7" t="s">
        <v>428</v>
      </c>
      <c r="G137" s="7" t="s">
        <v>16</v>
      </c>
      <c r="H137" s="11" t="str">
        <f>HYPERLINK("http://www.usrc.it/AppRendiConta/det_454_20160728.pdf","Determinazione USRC n.454 del 2016.pdf")</f>
        <v>Determinazione USRC n.454 del 2016.pdf</v>
      </c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>
      <c r="A138" s="18" t="s">
        <v>429</v>
      </c>
      <c r="B138" s="7" t="s">
        <v>363</v>
      </c>
      <c r="C138" s="8" t="s">
        <v>115</v>
      </c>
      <c r="D138" s="9" t="s">
        <v>14</v>
      </c>
      <c r="E138" s="10">
        <v>1630.5</v>
      </c>
      <c r="F138" s="7" t="s">
        <v>430</v>
      </c>
      <c r="G138" s="7" t="s">
        <v>16</v>
      </c>
      <c r="H138" s="11" t="str">
        <f>HYPERLINK("http://www.usrc.it/AppRendiConta/det_480_20160809.pdf","Determinazione USRC n.480 del 2016.pdf")</f>
        <v>Determinazione USRC n.480 del 2016.pdf</v>
      </c>
      <c r="I138" s="7"/>
      <c r="J138" s="7"/>
      <c r="K138" s="11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>
      <c r="A139" s="7" t="s">
        <v>431</v>
      </c>
      <c r="B139" s="7" t="s">
        <v>80</v>
      </c>
      <c r="C139" s="8" t="s">
        <v>81</v>
      </c>
      <c r="D139" s="9" t="s">
        <v>32</v>
      </c>
      <c r="E139" s="10">
        <v>467.71</v>
      </c>
      <c r="F139" s="7" t="s">
        <v>432</v>
      </c>
      <c r="G139" s="7" t="s">
        <v>16</v>
      </c>
      <c r="H139" s="19" t="str">
        <f>HYPERLINK("http://www.usrc.it/AppRendiConta/det_463_20160808.pdf","Determinazione USRC n.463 del 2016.pdf")</f>
        <v>Determinazione USRC n.463 del 2016.pdf</v>
      </c>
      <c r="I139" s="7"/>
      <c r="J139" s="7"/>
      <c r="K139" s="11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>
      <c r="A140" s="7" t="s">
        <v>433</v>
      </c>
      <c r="B140" s="7" t="s">
        <v>248</v>
      </c>
      <c r="C140" s="8" t="s">
        <v>249</v>
      </c>
      <c r="D140" s="9" t="s">
        <v>14</v>
      </c>
      <c r="E140" s="10">
        <v>999.96</v>
      </c>
      <c r="F140" s="20" t="s">
        <v>434</v>
      </c>
      <c r="G140" s="7" t="s">
        <v>16</v>
      </c>
      <c r="H140" s="19" t="str">
        <f>HYPERLINK("http://www.usrc.it/AppRendiConta/det_457_20160803.pdf","Determinazione USRC n.457 del 2016.pdf")</f>
        <v>Determinazione USRC n.457 del 2016.pdf</v>
      </c>
      <c r="I140" s="7"/>
      <c r="J140" s="7"/>
      <c r="K140" s="11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>
      <c r="A141" s="7" t="s">
        <v>435</v>
      </c>
      <c r="B141" s="7" t="s">
        <v>436</v>
      </c>
      <c r="C141" s="8" t="s">
        <v>437</v>
      </c>
      <c r="D141" s="9" t="s">
        <v>32</v>
      </c>
      <c r="E141" s="10">
        <v>330.25</v>
      </c>
      <c r="F141" s="20" t="s">
        <v>438</v>
      </c>
      <c r="G141" s="7" t="s">
        <v>16</v>
      </c>
      <c r="H141" s="19" t="str">
        <f>HYPERLINK("http://www.usrc.it/AppRendiConta/det_456_20160803.pdf","Determinazione USRC n.456 del 2016.pdf")</f>
        <v>Determinazione USRC n.456 del 2016.pdf</v>
      </c>
      <c r="I141" s="7"/>
      <c r="J141" s="7"/>
      <c r="K141" s="11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>
      <c r="A142" s="7" t="s">
        <v>439</v>
      </c>
      <c r="B142" s="7" t="s">
        <v>388</v>
      </c>
      <c r="C142" s="8" t="s">
        <v>277</v>
      </c>
      <c r="D142" s="9" t="s">
        <v>32</v>
      </c>
      <c r="E142" s="10">
        <v>239.0</v>
      </c>
      <c r="F142" s="20" t="s">
        <v>440</v>
      </c>
      <c r="G142" s="7" t="s">
        <v>16</v>
      </c>
      <c r="H142" s="19" t="str">
        <f>HYPERLINK("http://www.usrc.it/AppRendiConta/det_463_20160808.pdf","Determinazione USRC n.463 del 2016.pdf")</f>
        <v>Determinazione USRC n.463 del 2016.pdf</v>
      </c>
      <c r="I142" s="7"/>
      <c r="J142" s="7"/>
      <c r="K142" s="11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>
      <c r="A143" s="7" t="s">
        <v>441</v>
      </c>
      <c r="B143" s="7" t="s">
        <v>388</v>
      </c>
      <c r="C143" s="8" t="s">
        <v>277</v>
      </c>
      <c r="D143" s="9" t="s">
        <v>32</v>
      </c>
      <c r="E143" s="10">
        <v>163.2</v>
      </c>
      <c r="F143" s="20" t="s">
        <v>442</v>
      </c>
      <c r="G143" s="7" t="s">
        <v>16</v>
      </c>
      <c r="H143" s="19" t="str">
        <f>HYPERLINK("http://www.usrc.it/AppRendiConta/det_459_20160803.pdf","Determinazione USRC n.459 del 2016.pdf")</f>
        <v>Determinazione USRC n.459 del 2016.pdf</v>
      </c>
      <c r="I143" s="7"/>
      <c r="J143" s="7"/>
      <c r="K143" s="11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>
      <c r="A144" s="7" t="s">
        <v>443</v>
      </c>
      <c r="B144" s="7" t="s">
        <v>444</v>
      </c>
      <c r="C144" s="8" t="s">
        <v>445</v>
      </c>
      <c r="D144" s="9" t="s">
        <v>32</v>
      </c>
      <c r="E144" s="10">
        <v>410.56</v>
      </c>
      <c r="F144" s="7" t="s">
        <v>446</v>
      </c>
      <c r="G144" s="7" t="s">
        <v>16</v>
      </c>
      <c r="H144" s="19" t="str">
        <f>HYPERLINK("http://www.usrc.it/AppRendiConta/det_460_20160804.pdf","Determinazione USRC n.460 del 2016.pdf")</f>
        <v>Determinazione USRC n.460 del 2016.pdf</v>
      </c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>
      <c r="A145" s="7" t="s">
        <v>407</v>
      </c>
      <c r="B145" s="7" t="s">
        <v>405</v>
      </c>
      <c r="C145" s="8" t="s">
        <v>195</v>
      </c>
      <c r="D145" s="9" t="s">
        <v>14</v>
      </c>
      <c r="E145" s="10">
        <v>2160.0</v>
      </c>
      <c r="F145" s="7" t="s">
        <v>447</v>
      </c>
      <c r="G145" s="7" t="s">
        <v>16</v>
      </c>
      <c r="H145" s="19" t="str">
        <f>HYPERLINK("http://www.usrc.it/AppRendiConta/det_461_20160804.pdf","Determinazione USRC n.461 del 2016.pdf")</f>
        <v>Determinazione USRC n.461 del 2016.pdf</v>
      </c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>
      <c r="A146" s="7" t="s">
        <v>443</v>
      </c>
      <c r="B146" s="7" t="s">
        <v>96</v>
      </c>
      <c r="C146" s="8" t="s">
        <v>97</v>
      </c>
      <c r="D146" s="9" t="s">
        <v>32</v>
      </c>
      <c r="E146" s="10">
        <v>776.86</v>
      </c>
      <c r="F146" s="7" t="s">
        <v>448</v>
      </c>
      <c r="G146" s="7" t="s">
        <v>16</v>
      </c>
      <c r="H146" s="19" t="str">
        <f>HYPERLINK("http://www.usrc.it/AppRendiConta/det_493_20160829.pdf","Determinazione USRC n.493 del 2016.pdf")</f>
        <v>Determinazione USRC n.493 del 2016.pdf</v>
      </c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>
      <c r="A147" s="7" t="s">
        <v>373</v>
      </c>
      <c r="B147" s="7" t="s">
        <v>75</v>
      </c>
      <c r="C147" s="8" t="s">
        <v>76</v>
      </c>
      <c r="D147" s="9" t="s">
        <v>14</v>
      </c>
      <c r="E147" s="10">
        <v>1643.31</v>
      </c>
      <c r="F147" s="7" t="s">
        <v>449</v>
      </c>
      <c r="G147" s="7" t="s">
        <v>16</v>
      </c>
      <c r="H147" s="19" t="str">
        <f>HYPERLINK("http://www.usrc.it/AppRendiConta/det_494_20160901.pdf","Determinazione USRC n.494 del 2016.pdf")</f>
        <v>Determinazione USRC n.494 del 2016.pdf</v>
      </c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>
      <c r="A148" s="7" t="s">
        <v>450</v>
      </c>
      <c r="B148" s="7" t="s">
        <v>388</v>
      </c>
      <c r="C148" s="8" t="s">
        <v>277</v>
      </c>
      <c r="D148" s="9" t="s">
        <v>32</v>
      </c>
      <c r="E148" s="10">
        <v>41.0</v>
      </c>
      <c r="F148" s="7" t="s">
        <v>451</v>
      </c>
      <c r="G148" s="7" t="s">
        <v>16</v>
      </c>
      <c r="H148" s="19" t="str">
        <f>HYPERLINK("http://www.usrc.it/AppRendiConta/det_497_20160901.pdf","Determinazione USRC n.497 del 2016.pdf")</f>
        <v>Determinazione USRC n.497 del 2016.pdf</v>
      </c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>
      <c r="A149" s="7" t="s">
        <v>427</v>
      </c>
      <c r="B149" s="7" t="s">
        <v>452</v>
      </c>
      <c r="C149" s="8" t="s">
        <v>453</v>
      </c>
      <c r="D149" s="9" t="s">
        <v>32</v>
      </c>
      <c r="E149" s="10">
        <v>96.63</v>
      </c>
      <c r="F149" s="7" t="s">
        <v>454</v>
      </c>
      <c r="G149" s="7" t="s">
        <v>16</v>
      </c>
      <c r="H149" s="19" t="str">
        <f>HYPERLINK("http://www.usrc.it/AppRendiConta/det_507_20160905.pdf","Determinazione USRC n.507 del 2016.pdf")</f>
        <v>Determinazione USRC n.507 del 2016.pdf</v>
      </c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>
      <c r="A150" s="7" t="s">
        <v>455</v>
      </c>
      <c r="B150" s="7" t="s">
        <v>456</v>
      </c>
      <c r="C150" s="8" t="s">
        <v>457</v>
      </c>
      <c r="D150" s="9" t="s">
        <v>32</v>
      </c>
      <c r="E150" s="10">
        <v>28.51</v>
      </c>
      <c r="F150" s="7" t="s">
        <v>458</v>
      </c>
      <c r="G150" s="7" t="s">
        <v>16</v>
      </c>
      <c r="H150" s="19" t="str">
        <f>HYPERLINK("http://www.usrc.it/AppRendiConta/det_526_20160920.pdf","Determinazione USRC n.526 del 2016.pdf")</f>
        <v>Determinazione USRC n.526 del 2016.pdf</v>
      </c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>
      <c r="A151" s="7" t="s">
        <v>459</v>
      </c>
      <c r="B151" s="7" t="s">
        <v>460</v>
      </c>
      <c r="C151" s="8" t="s">
        <v>457</v>
      </c>
      <c r="D151" s="9" t="s">
        <v>32</v>
      </c>
      <c r="E151" s="10">
        <v>129.02</v>
      </c>
      <c r="F151" s="7" t="s">
        <v>461</v>
      </c>
      <c r="G151" s="7" t="s">
        <v>16</v>
      </c>
      <c r="H151" s="19" t="str">
        <f>HYPERLINK("http://www.usrc.it/AppRendiConta/det_527_20160920.pdf","Determinazione USRC n.527 del 2016.pdf")</f>
        <v>Determinazione USRC n.527 del 2016.pdf</v>
      </c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>
      <c r="A152" s="7" t="s">
        <v>382</v>
      </c>
      <c r="B152" s="7" t="s">
        <v>96</v>
      </c>
      <c r="C152" s="8" t="s">
        <v>97</v>
      </c>
      <c r="D152" s="9" t="s">
        <v>32</v>
      </c>
      <c r="E152" s="10">
        <v>752.85</v>
      </c>
      <c r="F152" s="7" t="s">
        <v>462</v>
      </c>
      <c r="G152" s="7" t="s">
        <v>16</v>
      </c>
      <c r="H152" s="19" t="str">
        <f>HYPERLINK("http://www.usrc.it/AppRendiConta/det_544_20160922.pdf","Determinazione USRC n.544 del 2016.pdf")</f>
        <v>Determinazione USRC n.544 del 2016.pdf</v>
      </c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ht="17.25" customHeight="1">
      <c r="A153" s="7" t="s">
        <v>424</v>
      </c>
      <c r="B153" s="7" t="s">
        <v>425</v>
      </c>
      <c r="C153" s="8" t="s">
        <v>108</v>
      </c>
      <c r="D153" s="9" t="s">
        <v>14</v>
      </c>
      <c r="E153" s="10">
        <v>6647.0</v>
      </c>
      <c r="F153" s="7" t="s">
        <v>463</v>
      </c>
      <c r="G153" s="7" t="s">
        <v>16</v>
      </c>
      <c r="H153" s="11" t="str">
        <f>HYPERLINK("http://www.usrc.it/AppRendiConta/det_554_20160728.pdf","Determinazione USRC n.554 del 2016.pdf")</f>
        <v>Determinazione USRC n.554 del 2016.pdf</v>
      </c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ht="17.25" customHeight="1">
      <c r="A154" s="7" t="s">
        <v>373</v>
      </c>
      <c r="B154" s="7" t="s">
        <v>75</v>
      </c>
      <c r="C154" s="8" t="s">
        <v>76</v>
      </c>
      <c r="D154" s="9" t="s">
        <v>14</v>
      </c>
      <c r="E154" s="10">
        <v>1643.31</v>
      </c>
      <c r="F154" s="7" t="s">
        <v>464</v>
      </c>
      <c r="G154" s="7" t="s">
        <v>16</v>
      </c>
      <c r="H154" s="21" t="str">
        <f>HYPERLINK("http://www.usrc.it/AppRendiConta/det_555_20160927.pdf","Determinazione USRC n.555 del 2016.pdf")</f>
        <v>Determinazione USRC n.555 del 2016.pdf</v>
      </c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>
      <c r="A155" s="7" t="s">
        <v>441</v>
      </c>
      <c r="B155" s="20" t="s">
        <v>388</v>
      </c>
      <c r="C155" s="22">
        <v>1.795670668E9</v>
      </c>
      <c r="D155" s="23" t="s">
        <v>32</v>
      </c>
      <c r="E155" s="10">
        <v>209.4</v>
      </c>
      <c r="F155" s="7" t="s">
        <v>465</v>
      </c>
      <c r="G155" s="7" t="s">
        <v>16</v>
      </c>
      <c r="H155" s="21" t="str">
        <f>HYPERLINK("http://www.usrc.it/AppRendiConta/det_556_20160927.pdf","Determinazione USRC n.556 del 2016.pdf")</f>
        <v>Determinazione USRC n.556 del 2016.pdf</v>
      </c>
      <c r="I155" s="24"/>
      <c r="J155" s="24"/>
      <c r="K155" s="24"/>
      <c r="L155" s="25"/>
      <c r="P155" s="26"/>
      <c r="Q155" s="26"/>
      <c r="R155" s="26"/>
      <c r="S155" s="26"/>
      <c r="T155" s="26"/>
      <c r="U155" s="26"/>
      <c r="V155" s="26"/>
    </row>
    <row r="156">
      <c r="A156" s="7" t="s">
        <v>385</v>
      </c>
      <c r="B156" s="7" t="s">
        <v>366</v>
      </c>
      <c r="C156" s="8" t="s">
        <v>367</v>
      </c>
      <c r="D156" s="7" t="s">
        <v>14</v>
      </c>
      <c r="E156" s="10">
        <v>44.8</v>
      </c>
      <c r="F156" s="7" t="s">
        <v>466</v>
      </c>
      <c r="G156" s="7" t="s">
        <v>16</v>
      </c>
      <c r="H156" s="21" t="str">
        <f>HYPERLINK("http://www.usrc.it/AppRendiConta/det_561_20160929.pdf","Determinazione USRC n.561 del 2016.pdf")</f>
        <v>Determinazione USRC n.561 del 2016.pdf</v>
      </c>
      <c r="I156" s="12"/>
      <c r="J156" s="24"/>
      <c r="K156" s="24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>
      <c r="A157" s="7" t="s">
        <v>467</v>
      </c>
      <c r="B157" s="7" t="s">
        <v>402</v>
      </c>
      <c r="C157" s="8" t="s">
        <v>81</v>
      </c>
      <c r="D157" s="7" t="s">
        <v>32</v>
      </c>
      <c r="E157" s="10">
        <v>258.71</v>
      </c>
      <c r="F157" s="7" t="s">
        <v>468</v>
      </c>
      <c r="G157" s="7" t="s">
        <v>16</v>
      </c>
      <c r="H157" s="21" t="str">
        <f>HYPERLINK("http://www.usrc.it/AppRendiConta/det_582_20160929.pdf","Determinazione USRC n.582 del 2016.pdf")</f>
        <v>Determinazione USRC n.582 del 2016.pdf</v>
      </c>
      <c r="I157" s="12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>
      <c r="A158" s="7" t="s">
        <v>469</v>
      </c>
      <c r="B158" s="7" t="s">
        <v>470</v>
      </c>
      <c r="C158" s="8" t="s">
        <v>471</v>
      </c>
      <c r="D158" s="7" t="s">
        <v>32</v>
      </c>
      <c r="E158" s="10">
        <v>6317.28</v>
      </c>
      <c r="F158" s="7" t="s">
        <v>472</v>
      </c>
      <c r="G158" s="7" t="s">
        <v>16</v>
      </c>
      <c r="H158" s="21" t="str">
        <f>HYPERLINK("http://www.usrc.it/AppRendiConta/det_663_20161116.pdf","Determinazione USRC n.663 del 2016.pdf")</f>
        <v>Determinazione USRC n.663 del 2016.pdf</v>
      </c>
      <c r="I158" s="12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>
      <c r="A159" s="7" t="s">
        <v>382</v>
      </c>
      <c r="B159" s="7" t="s">
        <v>96</v>
      </c>
      <c r="C159" s="8" t="s">
        <v>97</v>
      </c>
      <c r="D159" s="7" t="s">
        <v>32</v>
      </c>
      <c r="E159" s="10">
        <v>576.77</v>
      </c>
      <c r="F159" s="7" t="s">
        <v>473</v>
      </c>
      <c r="G159" s="7" t="s">
        <v>16</v>
      </c>
      <c r="H159" s="21" t="str">
        <f>HYPERLINK("http://www.usrc.it/AppRendiConta/det_665_20161116.pdf","Determinazione USRC n.665 del 2016.pdf")</f>
        <v>Determinazione USRC n.665 del 2016.pdf</v>
      </c>
      <c r="I159" s="12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>
      <c r="A160" s="7" t="s">
        <v>474</v>
      </c>
      <c r="B160" s="7" t="s">
        <v>388</v>
      </c>
      <c r="C160" s="8" t="s">
        <v>277</v>
      </c>
      <c r="D160" s="7" t="s">
        <v>32</v>
      </c>
      <c r="E160" s="10">
        <v>93.6</v>
      </c>
      <c r="F160" s="7" t="s">
        <v>475</v>
      </c>
      <c r="G160" s="7" t="s">
        <v>16</v>
      </c>
      <c r="H160" s="21" t="str">
        <f>HYPERLINK("http://www.usrc.it/AppRendiConta/det_667_20161116.pdf","Determinazione USRC n.667 del 2016.pdf")</f>
        <v>Determinazione USRC n.667 del 2016.pdf</v>
      </c>
      <c r="I160" s="12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>
      <c r="A161" s="7" t="s">
        <v>385</v>
      </c>
      <c r="B161" s="7" t="s">
        <v>366</v>
      </c>
      <c r="C161" s="8" t="s">
        <v>367</v>
      </c>
      <c r="D161" s="7" t="s">
        <v>14</v>
      </c>
      <c r="E161" s="10">
        <v>99.48</v>
      </c>
      <c r="F161" s="7" t="s">
        <v>476</v>
      </c>
      <c r="G161" s="7" t="s">
        <v>16</v>
      </c>
      <c r="H161" s="21" t="str">
        <f>HYPERLINK("http://www.usrc.it/AppRendiConta/det_668_20161116.pdf","Determinazione USRC n.668 del 2016.pdf")</f>
        <v>Determinazione USRC n.668 del 2016.pdf</v>
      </c>
      <c r="I161" s="12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>
      <c r="A162" s="7" t="s">
        <v>273</v>
      </c>
      <c r="B162" s="7" t="s">
        <v>107</v>
      </c>
      <c r="C162" s="8" t="s">
        <v>108</v>
      </c>
      <c r="D162" s="9" t="s">
        <v>14</v>
      </c>
      <c r="E162" s="10">
        <v>9889.89</v>
      </c>
      <c r="F162" s="7" t="s">
        <v>477</v>
      </c>
      <c r="G162" s="7" t="s">
        <v>16</v>
      </c>
      <c r="H162" s="21" t="str">
        <f>HYPERLINK("http://www.usrc.it/AppRendiConta/det_671_20161116.pdf","Determinazione USRC n.671 del 2016.pdf")</f>
        <v>Determinazione USRC n.671 del 2016.pdf</v>
      </c>
      <c r="I162" s="12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>
      <c r="A163" s="7" t="s">
        <v>373</v>
      </c>
      <c r="B163" s="7" t="s">
        <v>75</v>
      </c>
      <c r="C163" s="8" t="s">
        <v>76</v>
      </c>
      <c r="D163" s="7" t="s">
        <v>14</v>
      </c>
      <c r="E163" s="10">
        <v>1643.31</v>
      </c>
      <c r="F163" s="7" t="s">
        <v>478</v>
      </c>
      <c r="G163" s="7" t="s">
        <v>16</v>
      </c>
      <c r="H163" s="21" t="str">
        <f>HYPERLINK("http://www.usrc.it/AppRendiConta/det_641_20161116.pdf","Determinazione USRC n.641 del 2016.pdf")</f>
        <v>Determinazione USRC n.641 del 2016.pdf</v>
      </c>
      <c r="I163" s="12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>
      <c r="A164" s="7" t="s">
        <v>479</v>
      </c>
      <c r="B164" s="7" t="s">
        <v>480</v>
      </c>
      <c r="C164" s="8" t="s">
        <v>481</v>
      </c>
      <c r="D164" s="7" t="s">
        <v>32</v>
      </c>
      <c r="E164" s="10">
        <v>417.96</v>
      </c>
      <c r="F164" s="7" t="s">
        <v>482</v>
      </c>
      <c r="G164" s="7" t="s">
        <v>16</v>
      </c>
      <c r="H164" s="21" t="str">
        <f>HYPERLINK("http://www.usrc.it/AppRendiConta/det_626_20161025.pdf","Determinazione USRC n.626 del 2016.pdf")</f>
        <v>Determinazione USRC n.626 del 2016.pdf</v>
      </c>
      <c r="I164" s="12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>
      <c r="A165" s="7" t="s">
        <v>382</v>
      </c>
      <c r="B165" s="7" t="s">
        <v>96</v>
      </c>
      <c r="C165" s="8" t="s">
        <v>97</v>
      </c>
      <c r="D165" s="7" t="s">
        <v>32</v>
      </c>
      <c r="E165" s="10">
        <v>513.17</v>
      </c>
      <c r="F165" s="7" t="s">
        <v>483</v>
      </c>
      <c r="G165" s="7" t="s">
        <v>16</v>
      </c>
      <c r="H165" s="21" t="str">
        <f>HYPERLINK("http://www.usrc.it/AppRendiConta/det_595_20161020.pdf","Determinazione USRC n.595 del 2016.pdf")</f>
        <v>Determinazione USRC n.595 del 2016.pdf</v>
      </c>
      <c r="I165" s="12"/>
      <c r="J165" s="24"/>
      <c r="K165" s="24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>
      <c r="A166" s="7"/>
      <c r="B166" s="7" t="s">
        <v>484</v>
      </c>
      <c r="C166" s="8" t="s">
        <v>151</v>
      </c>
      <c r="D166" s="7" t="s">
        <v>14</v>
      </c>
      <c r="E166" s="10">
        <v>161.1</v>
      </c>
      <c r="F166" s="7" t="s">
        <v>485</v>
      </c>
      <c r="G166" s="7" t="s">
        <v>16</v>
      </c>
      <c r="H166" s="21" t="str">
        <f>HYPERLINK("http://www.usrc.it/AppRendiConta/det_647_20161109.pdf","Determinazione USRC n.647 del 2016.pdf")</f>
        <v>Determinazione USRC n.647 del 2016.pdf</v>
      </c>
      <c r="I166" s="12"/>
      <c r="J166" s="24"/>
      <c r="K166" s="24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>
      <c r="A167" s="7" t="s">
        <v>486</v>
      </c>
      <c r="B167" s="7" t="s">
        <v>487</v>
      </c>
      <c r="C167" s="8" t="s">
        <v>488</v>
      </c>
      <c r="D167" s="7" t="s">
        <v>32</v>
      </c>
      <c r="E167" s="10">
        <v>107.0</v>
      </c>
      <c r="F167" s="7" t="s">
        <v>489</v>
      </c>
      <c r="G167" s="7" t="s">
        <v>16</v>
      </c>
      <c r="H167" s="21" t="str">
        <f>HYPERLINK("http://www.usrc.it/AppRendiConta/det_673_20161121.pdf","Determinazione USRC n.673 del 2016.pdf")</f>
        <v>Determinazione USRC n.673 del 2016.pdf</v>
      </c>
      <c r="I167" s="12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>
      <c r="A168" s="7" t="s">
        <v>486</v>
      </c>
      <c r="B168" s="7" t="s">
        <v>487</v>
      </c>
      <c r="C168" s="8" t="s">
        <v>488</v>
      </c>
      <c r="D168" s="7" t="s">
        <v>32</v>
      </c>
      <c r="E168" s="10">
        <v>107.0</v>
      </c>
      <c r="F168" s="7" t="s">
        <v>490</v>
      </c>
      <c r="G168" s="7" t="s">
        <v>16</v>
      </c>
      <c r="H168" s="21" t="str">
        <f>HYPERLINK("http://www.usrc.it/AppRendiConta/det_573_20161005.pdf","Determinazione USRC n.573 del 2016.pdf")</f>
        <v>Determinazione USRC n.573 del 2016.pdf</v>
      </c>
      <c r="I168" s="12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>
      <c r="A169" s="7" t="s">
        <v>491</v>
      </c>
      <c r="B169" s="7" t="s">
        <v>492</v>
      </c>
      <c r="C169" s="8" t="s">
        <v>493</v>
      </c>
      <c r="D169" s="7" t="s">
        <v>14</v>
      </c>
      <c r="E169" s="10">
        <v>3666.13</v>
      </c>
      <c r="F169" s="7" t="s">
        <v>494</v>
      </c>
      <c r="G169" s="7" t="s">
        <v>16</v>
      </c>
      <c r="H169" s="21" t="str">
        <f>HYPERLINK("http://www.usrc.it/AppRendiConta/det_674_20161121.pdf","Determinazione USRC n.674 del 2016.pdf")</f>
        <v>Determinazione USRC n.674 del 2016.pdf</v>
      </c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>
      <c r="A170" s="7" t="s">
        <v>373</v>
      </c>
      <c r="B170" s="7" t="s">
        <v>75</v>
      </c>
      <c r="C170" s="8" t="s">
        <v>76</v>
      </c>
      <c r="D170" s="7" t="s">
        <v>14</v>
      </c>
      <c r="E170" s="10">
        <v>1643.31</v>
      </c>
      <c r="F170" s="7" t="s">
        <v>495</v>
      </c>
      <c r="G170" s="7" t="s">
        <v>16</v>
      </c>
      <c r="H170" s="21" t="str">
        <f>HYPERLINK("http://www.usrc.it/AppRendiConta/det_686_20161130.pdf","Determinazione USRC n.686 del 2016.pdf")</f>
        <v>Determinazione USRC n.686 del 2016.pdf</v>
      </c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>
      <c r="A171" s="7" t="s">
        <v>427</v>
      </c>
      <c r="B171" s="7" t="s">
        <v>91</v>
      </c>
      <c r="C171" s="8" t="s">
        <v>92</v>
      </c>
      <c r="D171" s="7" t="s">
        <v>14</v>
      </c>
      <c r="E171" s="10">
        <v>58.56</v>
      </c>
      <c r="F171" s="7" t="s">
        <v>496</v>
      </c>
      <c r="G171" s="7" t="s">
        <v>16</v>
      </c>
      <c r="H171" s="21" t="str">
        <f>HYPERLINK("http://www.usrc.it/AppRendiConta/det_685_20161130.pdf","Determinazione USRC n.685 del 2016.pdf")</f>
        <v>Determinazione USRC n.685 del 2016.pdf</v>
      </c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>
      <c r="A172" s="7" t="s">
        <v>407</v>
      </c>
      <c r="B172" s="7" t="s">
        <v>405</v>
      </c>
      <c r="C172" s="8" t="s">
        <v>195</v>
      </c>
      <c r="D172" s="7" t="s">
        <v>14</v>
      </c>
      <c r="E172" s="10">
        <v>2160.0</v>
      </c>
      <c r="F172" s="7" t="s">
        <v>497</v>
      </c>
      <c r="G172" s="7" t="s">
        <v>16</v>
      </c>
      <c r="H172" s="21" t="str">
        <f>HYPERLINK("http://www.usrc.it/AppRendiConta/det_684_20161130.pdf","Determinazione USRC n.684 del 2016.pdf")</f>
        <v>Determinazione USRC n.684 del 2016.pdf</v>
      </c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>
      <c r="A173" s="7" t="s">
        <v>333</v>
      </c>
      <c r="B173" s="7" t="s">
        <v>334</v>
      </c>
      <c r="C173" s="8" t="s">
        <v>335</v>
      </c>
      <c r="D173" s="7" t="s">
        <v>32</v>
      </c>
      <c r="E173" s="10">
        <v>12740.44</v>
      </c>
      <c r="F173" s="7" t="s">
        <v>498</v>
      </c>
      <c r="G173" s="7" t="s">
        <v>16</v>
      </c>
      <c r="H173" s="21" t="str">
        <f>HYPERLINK("http://www.usrc.it/AppRendiConta/det_708_20161130.pdf","Determinazione USRC n.708 del 2016.pdf")</f>
        <v>Determinazione USRC n.708 del 2016.pdf</v>
      </c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>
      <c r="A174" s="7" t="s">
        <v>499</v>
      </c>
      <c r="B174" s="7" t="s">
        <v>500</v>
      </c>
      <c r="C174" s="8" t="s">
        <v>501</v>
      </c>
      <c r="D174" s="7" t="s">
        <v>14</v>
      </c>
      <c r="E174" s="10">
        <v>3835.0</v>
      </c>
      <c r="F174" s="7" t="s">
        <v>502</v>
      </c>
      <c r="G174" s="7" t="s">
        <v>16</v>
      </c>
      <c r="H174" s="21" t="str">
        <f>HYPERLINK("http://www.usrc.it/AppRendiConta/det_736_20161215.pdf","Determinazione USRC n.736 del 2016.pdf")</f>
        <v>Determinazione USRC n.736 del 2016.pdf</v>
      </c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>
      <c r="A175" s="7" t="s">
        <v>385</v>
      </c>
      <c r="B175" s="7" t="s">
        <v>366</v>
      </c>
      <c r="C175" s="8" t="s">
        <v>367</v>
      </c>
      <c r="D175" s="7" t="s">
        <v>14</v>
      </c>
      <c r="E175" s="10">
        <v>180.31</v>
      </c>
      <c r="F175" s="7" t="s">
        <v>503</v>
      </c>
      <c r="G175" s="7" t="s">
        <v>16</v>
      </c>
      <c r="H175" s="21" t="str">
        <f>HYPERLINK("http://www.usrc.it/AppRendiConta/det_748_20161219.pdf","Determinazione USRC n.748 del 2016.pdf")</f>
        <v>Determinazione USRC n.748 del 2016.pdf</v>
      </c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>
      <c r="A176" s="7" t="s">
        <v>373</v>
      </c>
      <c r="B176" s="7" t="s">
        <v>75</v>
      </c>
      <c r="C176" s="8" t="s">
        <v>76</v>
      </c>
      <c r="D176" s="7" t="s">
        <v>14</v>
      </c>
      <c r="E176" s="10">
        <v>1643.31</v>
      </c>
      <c r="F176" s="7" t="s">
        <v>504</v>
      </c>
      <c r="G176" s="7" t="s">
        <v>16</v>
      </c>
      <c r="H176" s="21" t="str">
        <f>HYPERLINK("http://www.usrc.it/AppRendiConta/det_749_20161219.pdf","Determinazione USRC n.749 del 2016.pdf")</f>
        <v>Determinazione USRC n.749 del 2016.pdf</v>
      </c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>
      <c r="A177" s="7" t="s">
        <v>382</v>
      </c>
      <c r="B177" s="7" t="s">
        <v>96</v>
      </c>
      <c r="C177" s="8" t="s">
        <v>97</v>
      </c>
      <c r="D177" s="7" t="s">
        <v>32</v>
      </c>
      <c r="E177" s="10">
        <v>776.6</v>
      </c>
      <c r="F177" s="7" t="s">
        <v>505</v>
      </c>
      <c r="G177" s="7" t="s">
        <v>16</v>
      </c>
      <c r="H177" s="21" t="str">
        <f>HYPERLINK("http://www.usrc.it/AppRendiConta/det_750_20161219.pdf","Determinazione USRC n.750 del 2016.pdf")</f>
        <v>Determinazione USRC n.750 del 2016.pdf</v>
      </c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>
      <c r="A178" s="7" t="s">
        <v>506</v>
      </c>
      <c r="B178" s="7" t="s">
        <v>507</v>
      </c>
      <c r="C178" s="8" t="s">
        <v>508</v>
      </c>
      <c r="D178" s="7" t="s">
        <v>32</v>
      </c>
      <c r="E178" s="10">
        <v>98.5</v>
      </c>
      <c r="F178" s="7" t="s">
        <v>509</v>
      </c>
      <c r="G178" s="7" t="s">
        <v>16</v>
      </c>
      <c r="H178" s="21" t="str">
        <f>HYPERLINK("http://www.usrc.it/AppRendiConta/det_15_20170110.pdf","Determinazione USRC n.15 del 2017.pdf")</f>
        <v>Determinazione USRC n.15 del 2017.pdf</v>
      </c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>
      <c r="A179" s="7" t="s">
        <v>467</v>
      </c>
      <c r="B179" s="7" t="s">
        <v>402</v>
      </c>
      <c r="C179" s="8" t="s">
        <v>81</v>
      </c>
      <c r="D179" s="7" t="s">
        <v>32</v>
      </c>
      <c r="E179" s="10">
        <v>445.43</v>
      </c>
      <c r="F179" s="7" t="s">
        <v>510</v>
      </c>
      <c r="G179" s="7" t="s">
        <v>16</v>
      </c>
      <c r="H179" s="21" t="str">
        <f>HYPERLINK("http://www.usrc.it/AppRendiConta/det_16_20170110.pdf","Determinazione USRC n.16 del 2017.pdf")</f>
        <v>Determinazione USRC n.16 del 2017.pdf</v>
      </c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>
      <c r="A180" s="7" t="s">
        <v>511</v>
      </c>
      <c r="B180" s="7" t="s">
        <v>512</v>
      </c>
      <c r="C180" s="8" t="s">
        <v>45</v>
      </c>
      <c r="D180" s="7" t="s">
        <v>14</v>
      </c>
      <c r="E180" s="10">
        <v>3635.67</v>
      </c>
      <c r="F180" s="7" t="s">
        <v>513</v>
      </c>
      <c r="G180" s="7" t="s">
        <v>419</v>
      </c>
      <c r="H180" s="21" t="str">
        <f>HYPERLINK("http://www.usrc.it/AppRendiConta/det_17_20170111.pdf","Determinazione USRC n.17 del 2017.pdf")</f>
        <v>Determinazione USRC n.17 del 2017.pdf</v>
      </c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>
      <c r="A181" s="7" t="s">
        <v>514</v>
      </c>
      <c r="B181" s="7" t="s">
        <v>515</v>
      </c>
      <c r="C181" s="8" t="s">
        <v>69</v>
      </c>
      <c r="D181" s="7" t="s">
        <v>14</v>
      </c>
      <c r="E181" s="10">
        <v>1408.94</v>
      </c>
      <c r="F181" s="7" t="s">
        <v>516</v>
      </c>
      <c r="G181" s="7" t="s">
        <v>16</v>
      </c>
      <c r="H181" s="21" t="str">
        <f>HYPERLINK("http://www.usrc.it/AppRendiConta/det_18_20170112.pdf","Determinazione USRC n.18 del 2017.pdf")</f>
        <v>Determinazione USRC n.18 del 2017.pdf</v>
      </c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>
      <c r="A182" s="7" t="s">
        <v>517</v>
      </c>
      <c r="B182" s="7" t="s">
        <v>518</v>
      </c>
      <c r="C182" s="8" t="s">
        <v>69</v>
      </c>
      <c r="D182" s="7" t="s">
        <v>14</v>
      </c>
      <c r="E182" s="10">
        <v>1047.77</v>
      </c>
      <c r="F182" s="7" t="s">
        <v>519</v>
      </c>
      <c r="G182" s="7" t="s">
        <v>16</v>
      </c>
      <c r="H182" s="21" t="str">
        <f>HYPERLINK("http://www.usrc.it/AppRendiConta/det_19_20170112.pdf","Determinazione USRC n.19 del 2017.pdf")</f>
        <v>Determinazione USRC n.19 del 2017.pdf</v>
      </c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>
      <c r="A183" s="7" t="s">
        <v>369</v>
      </c>
      <c r="B183" s="7" t="s">
        <v>370</v>
      </c>
      <c r="C183" s="8" t="s">
        <v>371</v>
      </c>
      <c r="D183" s="7" t="s">
        <v>14</v>
      </c>
      <c r="E183" s="10">
        <v>400.0</v>
      </c>
      <c r="F183" s="7" t="s">
        <v>520</v>
      </c>
      <c r="G183" s="7" t="s">
        <v>16</v>
      </c>
      <c r="H183" s="21" t="str">
        <f>HYPERLINK("http://www.usrc.it/AppRendiConta/det_26_20170113.pdf","Determinazione USRC n.26 del 2017.pdf")</f>
        <v>Determinazione USRC n.26 del 2017.pdf</v>
      </c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>
      <c r="A184" s="7" t="s">
        <v>382</v>
      </c>
      <c r="B184" s="7" t="s">
        <v>96</v>
      </c>
      <c r="C184" s="8" t="s">
        <v>97</v>
      </c>
      <c r="D184" s="7" t="s">
        <v>32</v>
      </c>
      <c r="E184" s="10">
        <v>1264.11</v>
      </c>
      <c r="F184" s="7" t="s">
        <v>521</v>
      </c>
      <c r="G184" s="7" t="s">
        <v>16</v>
      </c>
      <c r="H184" s="21" t="str">
        <f>HYPERLINK("http://www.usrc.it/AppRendiConta/det_36_20170124.pdf","Determinazione USRC n.36 del 2017.pdf")</f>
        <v>Determinazione USRC n.36 del 2017.pdf</v>
      </c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>
      <c r="A185" s="7" t="s">
        <v>333</v>
      </c>
      <c r="B185" s="7" t="s">
        <v>334</v>
      </c>
      <c r="C185" s="8" t="s">
        <v>335</v>
      </c>
      <c r="D185" s="7" t="s">
        <v>32</v>
      </c>
      <c r="E185" s="10">
        <v>5472.0</v>
      </c>
      <c r="F185" s="7" t="s">
        <v>522</v>
      </c>
      <c r="G185" s="7" t="s">
        <v>423</v>
      </c>
      <c r="H185" s="21" t="str">
        <f>HYPERLINK("http://www.usrc.it/AppRendiConta/det_32_20170123.pdf","Determinazione USRC n.32 del 2017.pdf")</f>
        <v>Determinazione USRC n.32 del 2017.pdf</v>
      </c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>
      <c r="A186" s="7" t="s">
        <v>333</v>
      </c>
      <c r="B186" s="7" t="s">
        <v>334</v>
      </c>
      <c r="C186" s="8" t="s">
        <v>335</v>
      </c>
      <c r="D186" s="7" t="s">
        <v>32</v>
      </c>
      <c r="E186" s="10">
        <v>8208.0</v>
      </c>
      <c r="F186" s="7" t="s">
        <v>523</v>
      </c>
      <c r="G186" s="7" t="s">
        <v>423</v>
      </c>
      <c r="H186" s="21" t="str">
        <f>HYPERLINK("http://www.usrc.it/AppRendiConta/det_34_20170124.pdf","Determinazione USRC n.34 del 2017.pdf")</f>
        <v>Determinazione USRC n.34 del 2017.pdf</v>
      </c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>
      <c r="A187" s="7" t="s">
        <v>524</v>
      </c>
      <c r="B187" s="7" t="s">
        <v>388</v>
      </c>
      <c r="C187" s="8" t="s">
        <v>277</v>
      </c>
      <c r="D187" s="7" t="s">
        <v>32</v>
      </c>
      <c r="E187" s="10">
        <v>234.0</v>
      </c>
      <c r="F187" s="7" t="s">
        <v>525</v>
      </c>
      <c r="G187" s="7" t="s">
        <v>16</v>
      </c>
      <c r="H187" s="21" t="str">
        <f>HYPERLINK("http://www.usrc.it/AppRendiConta/det_454_20170131.pdf","Determinazione USRC n.45 del 2017.pdf")</f>
        <v>Determinazione USRC n.45 del 2017.pdf</v>
      </c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>
      <c r="A188" s="7" t="s">
        <v>526</v>
      </c>
      <c r="B188" s="7" t="s">
        <v>346</v>
      </c>
      <c r="C188" s="8" t="s">
        <v>347</v>
      </c>
      <c r="D188" s="7" t="s">
        <v>14</v>
      </c>
      <c r="E188" s="10">
        <v>409.29</v>
      </c>
      <c r="F188" s="7" t="s">
        <v>527</v>
      </c>
      <c r="G188" s="7" t="s">
        <v>16</v>
      </c>
      <c r="H188" s="21" t="str">
        <f>HYPERLINK("http://www.usrc.it/AppRendiConta/det_46_20170131.pdf","Determinazione USRC n.46 del 2017.pdf")</f>
        <v>Determinazione USRC n.46 del 2017.pdf</v>
      </c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>
      <c r="A189" s="7" t="s">
        <v>528</v>
      </c>
      <c r="B189" s="7" t="s">
        <v>107</v>
      </c>
      <c r="C189" s="8" t="s">
        <v>108</v>
      </c>
      <c r="D189" s="9" t="s">
        <v>14</v>
      </c>
      <c r="E189" s="10">
        <v>6647.0</v>
      </c>
      <c r="F189" s="7" t="s">
        <v>529</v>
      </c>
      <c r="G189" s="7" t="s">
        <v>16</v>
      </c>
      <c r="H189" s="21" t="str">
        <f>HYPERLINK("http://www.usrc.it/AppRendiConta/det_49_20170201.pdf","Determinazione USRC n.49 del 2017.pdf")</f>
        <v>Determinazione USRC n.49 del 2017.pdf</v>
      </c>
      <c r="I189" s="12"/>
      <c r="J189" s="12"/>
      <c r="K189" s="12"/>
    </row>
    <row r="190">
      <c r="A190" s="7" t="s">
        <v>420</v>
      </c>
      <c r="B190" s="7" t="s">
        <v>530</v>
      </c>
      <c r="C190" s="20">
        <v>2.29870001E9</v>
      </c>
      <c r="D190" s="7" t="s">
        <v>14</v>
      </c>
      <c r="E190" s="10">
        <v>7644.9</v>
      </c>
      <c r="F190" s="7" t="s">
        <v>531</v>
      </c>
      <c r="G190" s="7" t="s">
        <v>16</v>
      </c>
      <c r="H190" s="21" t="str">
        <f>HYPERLINK("http://www.usrc.it/AppRendiConta/det_50_20170201.pdf","Determinazione USRC n.50 del 2017.pdf")</f>
        <v>Determinazione USRC n.50 del 2017.pdf</v>
      </c>
      <c r="I190" s="12"/>
      <c r="J190" s="12"/>
      <c r="K190" s="12"/>
    </row>
    <row r="191">
      <c r="A191" s="7" t="s">
        <v>415</v>
      </c>
      <c r="B191" s="7" t="s">
        <v>530</v>
      </c>
      <c r="C191" s="8" t="s">
        <v>417</v>
      </c>
      <c r="D191" s="9" t="s">
        <v>14</v>
      </c>
      <c r="E191" s="10">
        <v>18314.5</v>
      </c>
      <c r="F191" s="7" t="s">
        <v>532</v>
      </c>
      <c r="G191" s="7" t="s">
        <v>16</v>
      </c>
      <c r="H191" s="21" t="str">
        <f>HYPERLINK("http://www.usrc.it/AppRendiConta/det_51_20170201.pdf","Determinazione USRC n.51 del 2017.pdf")</f>
        <v>Determinazione USRC n.51 del 2017.pdf</v>
      </c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>
      <c r="A192" s="7" t="s">
        <v>533</v>
      </c>
      <c r="B192" s="7" t="s">
        <v>366</v>
      </c>
      <c r="C192" s="8" t="s">
        <v>367</v>
      </c>
      <c r="D192" s="9" t="s">
        <v>14</v>
      </c>
      <c r="E192" s="10">
        <v>239.88</v>
      </c>
      <c r="F192" s="7" t="s">
        <v>534</v>
      </c>
      <c r="G192" s="7" t="s">
        <v>16</v>
      </c>
      <c r="H192" s="21" t="str">
        <f>HYPERLINK("http://www.usrc.it/AppRendiConta/det_53_20170202.pdf","Determinazione USRC n.53 del 2017.pdf")</f>
        <v>Determinazione USRC n.53 del 2017.pdf</v>
      </c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>
      <c r="A193" s="7" t="s">
        <v>333</v>
      </c>
      <c r="B193" s="7" t="s">
        <v>334</v>
      </c>
      <c r="C193" s="8" t="s">
        <v>335</v>
      </c>
      <c r="D193" s="9" t="s">
        <v>32</v>
      </c>
      <c r="E193" s="10">
        <v>2736.0</v>
      </c>
      <c r="F193" s="7" t="s">
        <v>535</v>
      </c>
      <c r="G193" s="7" t="s">
        <v>423</v>
      </c>
      <c r="H193" s="21" t="str">
        <f>HYPERLINK("http://www.usrc.it/AppRendiConta/det_54_20170202.pdf","Determinazione USRC n.54 del 2017.pdf")</f>
        <v>Determinazione USRC n.54 del 2017.pdf</v>
      </c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>
      <c r="A194" s="7" t="s">
        <v>536</v>
      </c>
      <c r="B194" s="7" t="s">
        <v>350</v>
      </c>
      <c r="C194" s="8" t="s">
        <v>298</v>
      </c>
      <c r="D194" s="9" t="s">
        <v>32</v>
      </c>
      <c r="E194" s="10">
        <v>144.4</v>
      </c>
      <c r="F194" s="7" t="s">
        <v>537</v>
      </c>
      <c r="G194" s="7" t="s">
        <v>16</v>
      </c>
      <c r="H194" s="21" t="str">
        <f>HYPERLINK("http://www.usrc.it/AppRendiConta/det_60_20170207.pdf","Determinazione USRC n.60 del 2017.pdf")</f>
        <v>Determinazione USRC n.60 del 2017.pdf</v>
      </c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>
      <c r="A195" s="7" t="s">
        <v>538</v>
      </c>
      <c r="B195" s="7" t="s">
        <v>539</v>
      </c>
      <c r="C195" s="8" t="s">
        <v>55</v>
      </c>
      <c r="D195" s="9" t="s">
        <v>32</v>
      </c>
      <c r="E195" s="10">
        <v>787.0</v>
      </c>
      <c r="F195" s="7" t="s">
        <v>540</v>
      </c>
      <c r="G195" s="7" t="s">
        <v>16</v>
      </c>
      <c r="H195" s="21" t="str">
        <f>HYPERLINK("http://www.usrc.it/AppRendiConta/det_61_20170207.pdf","Determinazione USRC n.61 del 2017.pdf")</f>
        <v>Determinazione USRC n.61 del 2017.pdf</v>
      </c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>
      <c r="A196" s="7" t="s">
        <v>538</v>
      </c>
      <c r="B196" s="7" t="s">
        <v>539</v>
      </c>
      <c r="C196" s="8" t="s">
        <v>55</v>
      </c>
      <c r="D196" s="9" t="s">
        <v>32</v>
      </c>
      <c r="E196" s="10">
        <v>2662.0</v>
      </c>
      <c r="F196" s="7" t="s">
        <v>541</v>
      </c>
      <c r="G196" s="7" t="s">
        <v>16</v>
      </c>
      <c r="H196" s="21" t="str">
        <f>HYPERLINK("http://www.usrc.it/AppRendiConta/det_62_20170207.pdf","Determinazione USRC n.62 del 2017.pdf")</f>
        <v>Determinazione USRC n.62 del 2017.pdf</v>
      </c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>
      <c r="A197" s="7" t="s">
        <v>526</v>
      </c>
      <c r="B197" s="7" t="s">
        <v>346</v>
      </c>
      <c r="C197" s="8" t="s">
        <v>347</v>
      </c>
      <c r="D197" s="9" t="s">
        <v>14</v>
      </c>
      <c r="E197" s="10">
        <v>29.61</v>
      </c>
      <c r="F197" s="7" t="s">
        <v>542</v>
      </c>
      <c r="G197" s="7" t="s">
        <v>16</v>
      </c>
      <c r="H197" s="21" t="str">
        <f>HYPERLINK("http://www.usrc.it/AppRendiConta/det_73_20170209.pdf","Determinazione USRC n.73 del 2017.pdf")</f>
        <v>Determinazione USRC n.73 del 2017.pdf</v>
      </c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>
      <c r="A198" s="7" t="s">
        <v>407</v>
      </c>
      <c r="B198" s="7" t="s">
        <v>405</v>
      </c>
      <c r="C198" s="8" t="s">
        <v>195</v>
      </c>
      <c r="D198" s="7" t="s">
        <v>14</v>
      </c>
      <c r="E198" s="10">
        <v>1620.0</v>
      </c>
      <c r="F198" s="7" t="s">
        <v>543</v>
      </c>
      <c r="G198" s="7" t="s">
        <v>16</v>
      </c>
      <c r="H198" s="21" t="str">
        <f>HYPERLINK("http://www.usrc.it/AppRendiConta/det_85_20170217.pdf","Determinazione USRC n.85 del 2017.pdf")</f>
        <v>Determinazione USRC n.85 del 2017.pdf</v>
      </c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>
      <c r="A199" s="7" t="s">
        <v>407</v>
      </c>
      <c r="B199" s="7" t="s">
        <v>405</v>
      </c>
      <c r="C199" s="8" t="s">
        <v>195</v>
      </c>
      <c r="D199" s="7" t="s">
        <v>14</v>
      </c>
      <c r="E199" s="10">
        <v>576.0</v>
      </c>
      <c r="F199" s="7" t="s">
        <v>544</v>
      </c>
      <c r="G199" s="7" t="s">
        <v>16</v>
      </c>
      <c r="H199" s="21" t="str">
        <f>HYPERLINK("http://www.usrc.it/AppRendiConta/det_86_20170217.pdf","Determinazione USRC n.86 del 2017.pdf")</f>
        <v>Determinazione USRC n.86 del 2017.pdf</v>
      </c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>
      <c r="A200" s="7" t="s">
        <v>467</v>
      </c>
      <c r="B200" s="7" t="s">
        <v>402</v>
      </c>
      <c r="C200" s="8" t="s">
        <v>81</v>
      </c>
      <c r="D200" s="7" t="s">
        <v>32</v>
      </c>
      <c r="E200" s="10">
        <v>494.09</v>
      </c>
      <c r="F200" s="7" t="s">
        <v>545</v>
      </c>
      <c r="G200" s="7" t="s">
        <v>16</v>
      </c>
      <c r="H200" s="21" t="str">
        <f>HYPERLINK("http://www.usrc.it/AppRendiConta/det_87_20170217.pdf","Determinazione USRC n.87 del 2017.pdf")</f>
        <v>Determinazione USRC n.87 del 2017.pdf</v>
      </c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>
      <c r="A201" s="7"/>
      <c r="B201" s="7" t="s">
        <v>546</v>
      </c>
      <c r="C201" s="22"/>
      <c r="D201" s="7" t="s">
        <v>14</v>
      </c>
      <c r="E201" s="27">
        <v>31800.0</v>
      </c>
      <c r="F201" s="7" t="s">
        <v>547</v>
      </c>
      <c r="G201" s="7" t="s">
        <v>16</v>
      </c>
      <c r="H201" s="21" t="str">
        <f>HYPERLINK("http://www.usrc.it/AppRendiConta/det_108_20170223.pdf","Determinazione USRC n.108 del 2017.pdf")</f>
        <v>Determinazione USRC n.108 del 2017.pdf</v>
      </c>
      <c r="I201" s="7"/>
      <c r="J201" s="7"/>
      <c r="K201" s="7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>
      <c r="A202" s="7" t="s">
        <v>514</v>
      </c>
      <c r="B202" s="7" t="s">
        <v>515</v>
      </c>
      <c r="C202" s="22" t="s">
        <v>69</v>
      </c>
      <c r="D202" s="7" t="s">
        <v>14</v>
      </c>
      <c r="E202" s="10">
        <v>1184.96</v>
      </c>
      <c r="F202" s="7" t="s">
        <v>548</v>
      </c>
      <c r="G202" s="7" t="s">
        <v>16</v>
      </c>
      <c r="H202" s="21" t="str">
        <f>HYPERLINK("http://www.usrc.it/AppRendiConta/det_109_20170223.pdf","Determinazione USRC n.109 del 2017.pdf")</f>
        <v>Determinazione USRC n.109 del 2017.pdf</v>
      </c>
      <c r="I202" s="7"/>
      <c r="J202" s="7"/>
      <c r="K202" s="7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>
      <c r="A203" s="7" t="s">
        <v>517</v>
      </c>
      <c r="B203" s="7" t="s">
        <v>518</v>
      </c>
      <c r="C203" s="22" t="s">
        <v>69</v>
      </c>
      <c r="D203" s="7" t="s">
        <v>14</v>
      </c>
      <c r="E203" s="10">
        <v>1009.73</v>
      </c>
      <c r="F203" s="7" t="s">
        <v>549</v>
      </c>
      <c r="G203" s="7" t="s">
        <v>16</v>
      </c>
      <c r="H203" s="21" t="str">
        <f>HYPERLINK("http://www.usrc.it/AppRendiConta/det_110_20170223.pdf","Determinazione USRC n.110 del 2017.pdf")</f>
        <v>Determinazione USRC n.110 del 2017.pdf</v>
      </c>
      <c r="I203" s="7"/>
      <c r="J203" s="7"/>
      <c r="K203" s="7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>
      <c r="A204" s="7" t="s">
        <v>526</v>
      </c>
      <c r="B204" s="7" t="s">
        <v>346</v>
      </c>
      <c r="C204" s="22" t="s">
        <v>347</v>
      </c>
      <c r="D204" s="7" t="s">
        <v>14</v>
      </c>
      <c r="E204" s="10">
        <v>189.94</v>
      </c>
      <c r="F204" s="7" t="s">
        <v>550</v>
      </c>
      <c r="G204" s="7" t="s">
        <v>16</v>
      </c>
      <c r="H204" s="21" t="str">
        <f>HYPERLINK("http://www.usrc.it/AppRendiConta/det_111_20170224.pdf","Determinazione USRC n.111 del 2017.pdf")</f>
        <v>Determinazione USRC n.111 del 2017.pdf</v>
      </c>
      <c r="I204" s="7"/>
      <c r="J204" s="7"/>
      <c r="K204" s="7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>
      <c r="A205" s="7" t="s">
        <v>382</v>
      </c>
      <c r="B205" s="7" t="s">
        <v>96</v>
      </c>
      <c r="C205" s="8" t="s">
        <v>97</v>
      </c>
      <c r="D205" s="7" t="s">
        <v>14</v>
      </c>
      <c r="E205" s="10">
        <v>738.94</v>
      </c>
      <c r="F205" s="7" t="s">
        <v>551</v>
      </c>
      <c r="G205" s="7" t="s">
        <v>16</v>
      </c>
      <c r="H205" s="21" t="str">
        <f>HYPERLINK("http://www.usrc.it/AppRendiConta/det_125_20170302.pdf","Determinazione USRC n.125 del 2017.pdf")</f>
        <v>Determinazione USRC n.125 del 2017.pdf</v>
      </c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>
      <c r="A206" s="7" t="s">
        <v>333</v>
      </c>
      <c r="B206" s="7" t="s">
        <v>334</v>
      </c>
      <c r="C206" s="8" t="s">
        <v>335</v>
      </c>
      <c r="D206" s="7" t="s">
        <v>32</v>
      </c>
      <c r="E206" s="10">
        <v>5472.0</v>
      </c>
      <c r="F206" s="7" t="s">
        <v>552</v>
      </c>
      <c r="G206" s="7" t="s">
        <v>16</v>
      </c>
      <c r="H206" s="21" t="str">
        <f>HYPERLINK("http://www.usrc.it/AppRendiConta/det_125_20170303.pdf","Determinazione USRC n.125 del 2017.pdf")</f>
        <v>Determinazione USRC n.125 del 2017.pdf</v>
      </c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>
      <c r="A207" s="7" t="s">
        <v>511</v>
      </c>
      <c r="B207" s="7" t="s">
        <v>512</v>
      </c>
      <c r="C207" s="8" t="s">
        <v>45</v>
      </c>
      <c r="D207" s="7" t="s">
        <v>14</v>
      </c>
      <c r="E207" s="10">
        <v>8771.98</v>
      </c>
      <c r="F207" s="7" t="s">
        <v>553</v>
      </c>
      <c r="G207" s="7" t="s">
        <v>16</v>
      </c>
      <c r="H207" s="21" t="str">
        <f>HYPERLINK("http://www.usrc.it/AppRendiConta/det_152_20170315.pdf","Determinazione USRC n.152 del 2017.pdf")</f>
        <v>Determinazione USRC n.152 del 2017.pdf</v>
      </c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>
      <c r="A208" s="7" t="s">
        <v>554</v>
      </c>
      <c r="B208" s="7" t="s">
        <v>555</v>
      </c>
      <c r="C208" s="8" t="s">
        <v>556</v>
      </c>
      <c r="D208" s="7" t="s">
        <v>32</v>
      </c>
      <c r="E208" s="10">
        <v>110.91</v>
      </c>
      <c r="F208" s="7" t="s">
        <v>557</v>
      </c>
      <c r="G208" s="7" t="s">
        <v>16</v>
      </c>
      <c r="H208" s="21" t="str">
        <f>HYPERLINK("http://www.usrc.it/AppRendiConta/det_157_20170315.pdf","Determinazione USRC n.157 del 2017.pdf")</f>
        <v>Determinazione USRC n.157 del 2017.pdf</v>
      </c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>
      <c r="A209" s="7" t="s">
        <v>558</v>
      </c>
      <c r="B209" s="7" t="s">
        <v>559</v>
      </c>
      <c r="C209" s="8" t="s">
        <v>560</v>
      </c>
      <c r="D209" s="7" t="s">
        <v>14</v>
      </c>
      <c r="E209" s="10">
        <v>102.0</v>
      </c>
      <c r="F209" s="7" t="s">
        <v>561</v>
      </c>
      <c r="G209" s="7" t="s">
        <v>16</v>
      </c>
      <c r="H209" s="21" t="str">
        <f t="shared" ref="H209:H210" si="1">HYPERLINK("http://www.usrc.it/AppRendiConta/det_167_20170317.pdf","Determinazione USRC n.167 del 2017.pdf")</f>
        <v>Determinazione USRC n.167 del 2017.pdf</v>
      </c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>
      <c r="A210" s="28" t="s">
        <v>533</v>
      </c>
      <c r="B210" s="28" t="s">
        <v>366</v>
      </c>
      <c r="C210" s="29" t="s">
        <v>367</v>
      </c>
      <c r="D210" s="28" t="s">
        <v>14</v>
      </c>
      <c r="E210" s="30">
        <v>55.07</v>
      </c>
      <c r="F210" s="28" t="s">
        <v>562</v>
      </c>
      <c r="G210" s="7" t="s">
        <v>16</v>
      </c>
      <c r="H210" s="21" t="str">
        <f t="shared" si="1"/>
        <v>Determinazione USRC n.167 del 2017.pdf</v>
      </c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>
      <c r="A211" s="28" t="s">
        <v>333</v>
      </c>
      <c r="B211" s="28" t="s">
        <v>334</v>
      </c>
      <c r="C211" s="29" t="s">
        <v>335</v>
      </c>
      <c r="D211" s="28" t="s">
        <v>32</v>
      </c>
      <c r="E211" s="30">
        <v>5472.0</v>
      </c>
      <c r="F211" s="28" t="s">
        <v>563</v>
      </c>
      <c r="G211" s="7" t="s">
        <v>16</v>
      </c>
      <c r="H211" s="21" t="str">
        <f>HYPERLINK("http://www.usrc.it/AppRendiConta/det_182_20170323.pdf","Determinazione USRC n.182 del 2017.pdf")</f>
        <v>Determinazione USRC n.182 del 2017.pdf</v>
      </c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>
      <c r="A212" s="31"/>
      <c r="B212" s="32" t="s">
        <v>564</v>
      </c>
      <c r="C212" s="33"/>
      <c r="D212" s="28" t="s">
        <v>14</v>
      </c>
      <c r="E212" s="30">
        <v>48211.17</v>
      </c>
      <c r="F212" s="28" t="s">
        <v>565</v>
      </c>
      <c r="G212" s="7" t="s">
        <v>16</v>
      </c>
      <c r="H212" s="21" t="str">
        <f>HYPERLINK("http://www.usrc.it/AppRendiConta/det_191_20170324.pdf","Determinazione USRC n.191 del 2017.pdf")</f>
        <v>Determinazione USRC n.191 del 2017.pdf</v>
      </c>
      <c r="I212" s="34"/>
      <c r="J212" s="34"/>
      <c r="K212" s="34"/>
    </row>
    <row r="213">
      <c r="A213" s="31" t="s">
        <v>566</v>
      </c>
      <c r="B213" s="32" t="s">
        <v>567</v>
      </c>
      <c r="C213" s="33" t="s">
        <v>568</v>
      </c>
      <c r="D213" s="28" t="s">
        <v>32</v>
      </c>
      <c r="E213" s="30">
        <v>1560.0</v>
      </c>
      <c r="F213" s="28" t="s">
        <v>569</v>
      </c>
      <c r="G213" s="28" t="s">
        <v>16</v>
      </c>
      <c r="H213" s="35" t="str">
        <f>HYPERLINK("http://www.usrc.it/AppRendiConta/det_222_20170404.pdf","Determinazione USRC n.222 del 2017.pdf")</f>
        <v>Determinazione USRC n.222 del 2017.pdf</v>
      </c>
      <c r="I213" s="34"/>
      <c r="J213" s="34"/>
      <c r="K213" s="34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>
      <c r="A214" s="31" t="s">
        <v>570</v>
      </c>
      <c r="B214" s="32" t="s">
        <v>512</v>
      </c>
      <c r="C214" s="33" t="s">
        <v>45</v>
      </c>
      <c r="D214" s="28" t="s">
        <v>32</v>
      </c>
      <c r="E214" s="30">
        <v>6000.0</v>
      </c>
      <c r="F214" s="28" t="s">
        <v>571</v>
      </c>
      <c r="G214" s="28" t="s">
        <v>572</v>
      </c>
      <c r="H214" s="35" t="str">
        <f>HYPERLINK("http://www.usrc.it/AppRendiConta/det_215_20170403.pdf","Determinazione USRC n.215 del 2017.pdf")</f>
        <v>Determinazione USRC n.215 del 2017.pdf</v>
      </c>
      <c r="I214" s="34"/>
      <c r="J214" s="34"/>
      <c r="K214" s="34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>
      <c r="A215" s="31" t="s">
        <v>573</v>
      </c>
      <c r="B215" s="32" t="s">
        <v>574</v>
      </c>
      <c r="C215" s="33" t="s">
        <v>575</v>
      </c>
      <c r="D215" s="28" t="s">
        <v>32</v>
      </c>
      <c r="E215" s="30">
        <v>68.27</v>
      </c>
      <c r="F215" s="28" t="s">
        <v>576</v>
      </c>
      <c r="G215" s="28" t="s">
        <v>16</v>
      </c>
      <c r="H215" s="35" t="str">
        <f>HYPERLINK("http://www.usrc.it/AppRendiConta/det_223_20170404.pdf","Determinazione USRC n.223 del 2017.pdf")</f>
        <v>Determinazione USRC n.223 del 2017.pdf</v>
      </c>
      <c r="I215" s="34"/>
      <c r="J215" s="34"/>
      <c r="K215" s="34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>
      <c r="A216" s="31" t="s">
        <v>577</v>
      </c>
      <c r="B216" s="32" t="s">
        <v>350</v>
      </c>
      <c r="C216" s="33" t="s">
        <v>298</v>
      </c>
      <c r="D216" s="28" t="s">
        <v>32</v>
      </c>
      <c r="E216" s="30">
        <v>413.69</v>
      </c>
      <c r="F216" s="28" t="s">
        <v>578</v>
      </c>
      <c r="G216" s="28" t="s">
        <v>16</v>
      </c>
      <c r="H216" s="35" t="str">
        <f>HYPERLINK("http://www.usrc.it/AppRendiConta/det_211_20170330.pdf","Determinazione USRC n.211 del 2017.pdf")</f>
        <v>Determinazione USRC n.211 del 2017.pdf</v>
      </c>
      <c r="I216" s="34"/>
      <c r="J216" s="34"/>
      <c r="K216" s="34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>
      <c r="A217" s="31" t="s">
        <v>579</v>
      </c>
      <c r="B217" s="32" t="s">
        <v>580</v>
      </c>
      <c r="C217" s="33" t="s">
        <v>581</v>
      </c>
      <c r="D217" s="28" t="s">
        <v>32</v>
      </c>
      <c r="E217" s="30">
        <v>157.4</v>
      </c>
      <c r="F217" s="28" t="s">
        <v>582</v>
      </c>
      <c r="G217" s="28" t="s">
        <v>16</v>
      </c>
      <c r="H217" s="35" t="str">
        <f>HYPERLINK("http://www.usrc.it/AppRendiConta/det_212_20170330.pdf","Determinazione USRC n.212 del 2017.pdf")</f>
        <v>Determinazione USRC n.212 del 2017.pdf</v>
      </c>
      <c r="I217" s="34"/>
      <c r="J217" s="34"/>
      <c r="K217" s="34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>
      <c r="A218" s="31"/>
      <c r="B218" s="32" t="s">
        <v>583</v>
      </c>
      <c r="C218" s="33"/>
      <c r="D218" s="28" t="s">
        <v>14</v>
      </c>
      <c r="E218" s="30"/>
      <c r="F218" s="28" t="s">
        <v>584</v>
      </c>
      <c r="G218" s="28" t="s">
        <v>16</v>
      </c>
      <c r="H218" s="35" t="str">
        <f>HYPERLINK("http://www.usrc.it/AppRendiConta/det_193_20170328.pdf","Determinazione USRC n.193 del 2017.pdf")</f>
        <v>Determinazione USRC n.193 del 2017.pdf</v>
      </c>
      <c r="I218" s="34"/>
      <c r="J218" s="34"/>
      <c r="K218" s="34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>
      <c r="A219" s="31" t="s">
        <v>382</v>
      </c>
      <c r="B219" s="32" t="s">
        <v>96</v>
      </c>
      <c r="C219" s="33" t="s">
        <v>97</v>
      </c>
      <c r="D219" s="28" t="s">
        <v>14</v>
      </c>
      <c r="E219" s="30">
        <v>1203.07</v>
      </c>
      <c r="F219" s="28" t="s">
        <v>585</v>
      </c>
      <c r="G219" s="28" t="s">
        <v>16</v>
      </c>
      <c r="H219" s="35" t="str">
        <f>HYPERLINK("http://www.usrc.it/AppRendiConta/det_194_20170328.pdf","Determinazione USRC n.194 del 2017.pdf")</f>
        <v>Determinazione USRC n.194 del 2017.pdf</v>
      </c>
      <c r="I219" s="34"/>
      <c r="J219" s="34"/>
      <c r="K219" s="34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>
      <c r="A220" s="31" t="s">
        <v>526</v>
      </c>
      <c r="B220" s="32" t="s">
        <v>346</v>
      </c>
      <c r="C220" s="33" t="s">
        <v>347</v>
      </c>
      <c r="D220" s="28" t="s">
        <v>14</v>
      </c>
      <c r="E220" s="30">
        <v>170.0</v>
      </c>
      <c r="F220" s="28" t="s">
        <v>586</v>
      </c>
      <c r="G220" s="28" t="s">
        <v>16</v>
      </c>
      <c r="H220" s="35" t="str">
        <f>HYPERLINK("http://www.usrc.it/AppRendiConta/det_195_20170328.pdf","Determinazione USRC n.195 del 2017.pdf")</f>
        <v>Determinazione USRC n.195 del 2017.pdf</v>
      </c>
      <c r="I220" s="34"/>
      <c r="J220" s="34"/>
      <c r="K220" s="34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>
      <c r="A221" s="31" t="s">
        <v>587</v>
      </c>
      <c r="B221" s="32" t="s">
        <v>588</v>
      </c>
      <c r="C221" s="33" t="s">
        <v>589</v>
      </c>
      <c r="D221" s="28" t="s">
        <v>32</v>
      </c>
      <c r="E221" s="30">
        <v>90.25</v>
      </c>
      <c r="F221" s="28" t="s">
        <v>590</v>
      </c>
      <c r="G221" s="28" t="s">
        <v>16</v>
      </c>
      <c r="H221" s="35" t="str">
        <f>HYPERLINK("http://www.usrc.it/AppRendiConta/det_247_20170419.pdf","Determinazione USRC n.247 del 2017.pdf")</f>
        <v>Determinazione USRC n.247 del 2017.pdf</v>
      </c>
      <c r="I221" s="34"/>
      <c r="J221" s="34"/>
      <c r="K221" s="34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>
      <c r="A222" s="31" t="s">
        <v>514</v>
      </c>
      <c r="B222" s="32" t="s">
        <v>515</v>
      </c>
      <c r="C222" s="33" t="s">
        <v>69</v>
      </c>
      <c r="D222" s="28" t="s">
        <v>14</v>
      </c>
      <c r="E222" s="30">
        <v>1151.32</v>
      </c>
      <c r="F222" s="28" t="s">
        <v>591</v>
      </c>
      <c r="G222" s="28" t="s">
        <v>16</v>
      </c>
      <c r="H222" s="35" t="str">
        <f>HYPERLINK("http://www.usrc.it/AppRendiConta/det_248_20170419.pdf","Determinazione USRC n.248 del 2017.pdf")</f>
        <v>Determinazione USRC n.248 del 2017.pdf</v>
      </c>
      <c r="I222" s="34"/>
      <c r="J222" s="34"/>
      <c r="K222" s="34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>
      <c r="A223" s="31" t="s">
        <v>517</v>
      </c>
      <c r="B223" s="32" t="s">
        <v>518</v>
      </c>
      <c r="C223" s="33" t="s">
        <v>69</v>
      </c>
      <c r="D223" s="28" t="s">
        <v>14</v>
      </c>
      <c r="E223" s="30">
        <v>1220.07</v>
      </c>
      <c r="F223" s="28" t="s">
        <v>592</v>
      </c>
      <c r="G223" s="28" t="s">
        <v>16</v>
      </c>
      <c r="H223" s="35" t="str">
        <f>HYPERLINK("http://www.usrc.it/AppRendiConta/det_249_20170419.pdf","Determinazione USRC n.249 del 2017.pdf")</f>
        <v>Determinazione USRC n.249 del 2017.pdf</v>
      </c>
      <c r="I223" s="34"/>
      <c r="J223" s="34"/>
      <c r="K223" s="34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>
      <c r="A224" s="7" t="s">
        <v>533</v>
      </c>
      <c r="B224" s="7" t="s">
        <v>366</v>
      </c>
      <c r="C224" s="8" t="s">
        <v>367</v>
      </c>
      <c r="D224" s="7" t="s">
        <v>14</v>
      </c>
      <c r="E224" s="30">
        <v>92.2</v>
      </c>
      <c r="F224" s="28" t="s">
        <v>593</v>
      </c>
      <c r="G224" s="28" t="s">
        <v>16</v>
      </c>
      <c r="H224" s="35" t="str">
        <f>HYPERLINK("http://www.usrc.it/AppRendiConta/det_266_20170426.pdf","Determinazione USRC n.266 del 2017.pdf")</f>
        <v>Determinazione USRC n.266 del 2017.pdf</v>
      </c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>
      <c r="A225" s="7" t="s">
        <v>382</v>
      </c>
      <c r="B225" s="7" t="s">
        <v>96</v>
      </c>
      <c r="C225" s="8" t="s">
        <v>97</v>
      </c>
      <c r="D225" s="7" t="s">
        <v>14</v>
      </c>
      <c r="E225" s="30">
        <v>383.59</v>
      </c>
      <c r="F225" s="7" t="s">
        <v>594</v>
      </c>
      <c r="G225" s="28" t="s">
        <v>16</v>
      </c>
      <c r="H225" s="35" t="str">
        <f>HYPERLINK("http://www.usrc.it/AppRendiConta/det_279_20170502.pdf","Determinazione USRC n.279 del 2017.pdf")</f>
        <v>Determinazione USRC n.279 del 2017.pdf</v>
      </c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>
      <c r="A226" s="7" t="s">
        <v>415</v>
      </c>
      <c r="B226" s="7" t="s">
        <v>530</v>
      </c>
      <c r="C226" s="8" t="s">
        <v>417</v>
      </c>
      <c r="D226" s="7" t="s">
        <v>14</v>
      </c>
      <c r="E226" s="30">
        <v>25481.26</v>
      </c>
      <c r="F226" s="7" t="s">
        <v>595</v>
      </c>
      <c r="G226" s="28" t="s">
        <v>572</v>
      </c>
      <c r="H226" s="35" t="str">
        <f>HYPERLINK("http://www.usrc.it/AppRendiConta/det_304_20170511.pdf","Determinazione USRC n.304 del 2017.pdf")</f>
        <v>Determinazione USRC n.304 del 2017.pdf</v>
      </c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>
      <c r="A227" s="7" t="s">
        <v>420</v>
      </c>
      <c r="B227" s="7" t="s">
        <v>530</v>
      </c>
      <c r="C227" s="8" t="s">
        <v>417</v>
      </c>
      <c r="D227" s="7" t="s">
        <v>14</v>
      </c>
      <c r="E227" s="30">
        <v>10790.7</v>
      </c>
      <c r="F227" s="7" t="s">
        <v>596</v>
      </c>
      <c r="G227" s="28" t="s">
        <v>572</v>
      </c>
      <c r="H227" s="35" t="str">
        <f>HYPERLINK("http://www.usrc.it/AppRendiConta/det_312_20170515.pdf","Determinazione USRC n.312 del 2017.pdf")</f>
        <v>Determinazione USRC n.312 del 2017.pdf</v>
      </c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>
      <c r="A228" s="7" t="s">
        <v>533</v>
      </c>
      <c r="B228" s="7" t="s">
        <v>366</v>
      </c>
      <c r="C228" s="8" t="s">
        <v>367</v>
      </c>
      <c r="D228" s="7" t="s">
        <v>14</v>
      </c>
      <c r="E228" s="10">
        <v>189.32</v>
      </c>
      <c r="F228" s="7" t="s">
        <v>597</v>
      </c>
      <c r="G228" s="7" t="s">
        <v>16</v>
      </c>
      <c r="H228" s="35" t="str">
        <f>HYPERLINK("http://www.usrc.it/AppRendiConta/det_331_20170522.pdf","Determinazione USRC n.331 del 2017.pdf")</f>
        <v>Determinazione USRC n.331 del 2017.pdf</v>
      </c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>
      <c r="A229" s="7" t="s">
        <v>382</v>
      </c>
      <c r="B229" s="7" t="s">
        <v>96</v>
      </c>
      <c r="C229" s="8" t="s">
        <v>97</v>
      </c>
      <c r="D229" s="7" t="s">
        <v>32</v>
      </c>
      <c r="E229" s="10">
        <v>505.82</v>
      </c>
      <c r="F229" s="7" t="s">
        <v>598</v>
      </c>
      <c r="G229" s="7" t="s">
        <v>16</v>
      </c>
      <c r="H229" s="35" t="str">
        <f>HYPERLINK("http://www.usrc.it/AppRendiConta/det_332_20170522.pdf","Determinazione USRC n.332 del 2017.pdf")</f>
        <v>Determinazione USRC n.332 del 2017.pdf</v>
      </c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>
      <c r="A230" s="7" t="s">
        <v>273</v>
      </c>
      <c r="B230" s="7" t="s">
        <v>107</v>
      </c>
      <c r="C230" s="8" t="s">
        <v>108</v>
      </c>
      <c r="D230" s="9" t="s">
        <v>14</v>
      </c>
      <c r="E230" s="10">
        <v>8109.34</v>
      </c>
      <c r="F230" s="7" t="s">
        <v>599</v>
      </c>
      <c r="G230" s="7" t="s">
        <v>16</v>
      </c>
      <c r="H230" s="21" t="str">
        <f>HYPERLINK("http://www.usrc.it/AppRendiConta/det_348_20170523.pdf","Determinazione USRC n.348 del 2017.pdf")</f>
        <v>Determinazione USRC n.348 del 2017.pdf</v>
      </c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>
      <c r="A231" s="7" t="s">
        <v>415</v>
      </c>
      <c r="B231" s="7" t="s">
        <v>530</v>
      </c>
      <c r="C231" s="8" t="s">
        <v>417</v>
      </c>
      <c r="D231" s="7" t="s">
        <v>14</v>
      </c>
      <c r="E231" s="10">
        <v>7656.24</v>
      </c>
      <c r="F231" s="7" t="s">
        <v>600</v>
      </c>
      <c r="G231" s="7" t="s">
        <v>16</v>
      </c>
      <c r="H231" s="35" t="str">
        <f>HYPERLINK("http://www.usrc.it/AppRendiConta/det_365_20170530.pdf","Determinazione USRC n.365 del 2017.pdf")</f>
        <v>Determinazione USRC n.365 del 2017.pdf</v>
      </c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>
      <c r="A232" s="7" t="s">
        <v>601</v>
      </c>
      <c r="B232" s="7" t="s">
        <v>602</v>
      </c>
      <c r="C232" s="8" t="s">
        <v>603</v>
      </c>
      <c r="D232" s="7" t="s">
        <v>14</v>
      </c>
      <c r="E232" s="10">
        <v>2821.07</v>
      </c>
      <c r="F232" s="7" t="s">
        <v>604</v>
      </c>
      <c r="G232" s="7" t="s">
        <v>16</v>
      </c>
      <c r="H232" s="21" t="str">
        <f>HYPERLINK("http://www.usrc.it/AppRendiConta/det_374_20170607.pdf","Determinazione USRC n.374 del 2017.pdf")</f>
        <v>Determinazione USRC n.374 del 2017.pdf</v>
      </c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>
      <c r="A233" s="7" t="s">
        <v>333</v>
      </c>
      <c r="B233" s="7" t="s">
        <v>334</v>
      </c>
      <c r="C233" s="8" t="s">
        <v>335</v>
      </c>
      <c r="D233" s="7" t="s">
        <v>32</v>
      </c>
      <c r="E233" s="10">
        <v>2736.0</v>
      </c>
      <c r="F233" s="7" t="s">
        <v>605</v>
      </c>
      <c r="G233" s="7" t="s">
        <v>423</v>
      </c>
      <c r="H233" s="21" t="str">
        <f>HYPERLINK("http://www.usrc.it/AppRendiConta/det_372_20170606.pdf","Determinazione USRC n.372 del 2017.pdf")</f>
        <v>Determinazione USRC n.372 del 2017.pdf</v>
      </c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>
      <c r="A234" s="7" t="s">
        <v>606</v>
      </c>
      <c r="B234" s="7" t="s">
        <v>388</v>
      </c>
      <c r="C234" s="8" t="s">
        <v>277</v>
      </c>
      <c r="D234" s="7" t="s">
        <v>32</v>
      </c>
      <c r="E234" s="10">
        <v>598.0</v>
      </c>
      <c r="F234" s="7" t="s">
        <v>607</v>
      </c>
      <c r="G234" s="7" t="s">
        <v>16</v>
      </c>
      <c r="H234" s="21" t="str">
        <f>HYPERLINK("http://www.usrc.it/AppRendiConta/det_373_20170606.pdf","Determinazione USRC n.373 del 2017.pdf")</f>
        <v>Determinazione USRC n.373 del 2017.pdf</v>
      </c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>
      <c r="A235" s="7" t="s">
        <v>517</v>
      </c>
      <c r="B235" s="7" t="s">
        <v>518</v>
      </c>
      <c r="C235" s="8" t="s">
        <v>69</v>
      </c>
      <c r="D235" s="7" t="s">
        <v>14</v>
      </c>
      <c r="E235" s="10">
        <v>1047.78</v>
      </c>
      <c r="F235" s="7" t="s">
        <v>608</v>
      </c>
      <c r="G235" s="7" t="s">
        <v>16</v>
      </c>
      <c r="H235" s="21" t="str">
        <f>HYPERLINK("http://www.usrc.it/AppRendiConta/det_382_20170608.pdf","Determinazione USRC n.382 del 2017.pdf")</f>
        <v>Determinazione USRC n.382 del 2017.pdf</v>
      </c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>
      <c r="A236" s="7" t="s">
        <v>514</v>
      </c>
      <c r="B236" s="7" t="s">
        <v>515</v>
      </c>
      <c r="C236" s="8" t="s">
        <v>69</v>
      </c>
      <c r="D236" s="7" t="s">
        <v>14</v>
      </c>
      <c r="E236" s="10">
        <v>1248.44</v>
      </c>
      <c r="F236" s="7" t="s">
        <v>609</v>
      </c>
      <c r="G236" s="7" t="s">
        <v>16</v>
      </c>
      <c r="H236" s="21" t="str">
        <f>HYPERLINK("http://www.usrc.it/AppRendiConta/det_383_20170608.pdf","Determinazione USRC n.383 del 2017.pdf")</f>
        <v>Determinazione USRC n.383 del 2017.pdf</v>
      </c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>
      <c r="A237" s="7" t="s">
        <v>491</v>
      </c>
      <c r="B237" s="7" t="s">
        <v>492</v>
      </c>
      <c r="C237" s="8" t="s">
        <v>215</v>
      </c>
      <c r="D237" s="7" t="s">
        <v>14</v>
      </c>
      <c r="E237" s="10">
        <v>1374.79</v>
      </c>
      <c r="F237" s="7" t="s">
        <v>610</v>
      </c>
      <c r="G237" s="36" t="s">
        <v>16</v>
      </c>
      <c r="H237" s="37" t="str">
        <f>HYPERLINK("http://www.usrc.it/AppRendiConta/det_403_20170613.pdf","Determinazione USRC n.403 del 2017.pdf")</f>
        <v>Determinazione USRC n.403 del 2017.pdf</v>
      </c>
      <c r="I237" s="7"/>
      <c r="J237" s="7"/>
      <c r="K237" s="8"/>
      <c r="L237" s="18"/>
      <c r="M237" s="18"/>
      <c r="N237" s="18"/>
      <c r="O237" s="38"/>
      <c r="P237" s="18"/>
      <c r="Q237" s="18"/>
      <c r="R237" s="18"/>
      <c r="S237" s="38"/>
      <c r="T237" s="18"/>
      <c r="U237" s="13"/>
      <c r="V237" s="13"/>
    </row>
    <row r="238">
      <c r="A238" s="7" t="s">
        <v>415</v>
      </c>
      <c r="B238" s="7" t="s">
        <v>530</v>
      </c>
      <c r="C238" s="7">
        <v>2.29870001E9</v>
      </c>
      <c r="D238" s="7" t="s">
        <v>14</v>
      </c>
      <c r="E238" s="39">
        <v>10790.7</v>
      </c>
      <c r="F238" s="7" t="s">
        <v>611</v>
      </c>
      <c r="G238" s="28" t="s">
        <v>572</v>
      </c>
      <c r="H238" s="37" t="str">
        <f>HYPERLINK("http://www.usrc.it/AppRendiConta/det_406_20170620.pdf","Determinazione USRC n.406 del 2017.pdf")</f>
        <v>Determinazione USRC n.406 del 2017.pdf</v>
      </c>
      <c r="I238" s="34"/>
      <c r="J238" s="34"/>
      <c r="K238" s="34"/>
    </row>
    <row r="239">
      <c r="A239" s="7" t="s">
        <v>612</v>
      </c>
      <c r="B239" s="7" t="s">
        <v>412</v>
      </c>
      <c r="C239" s="8" t="s">
        <v>413</v>
      </c>
      <c r="D239" s="7" t="s">
        <v>14</v>
      </c>
      <c r="E239" s="10">
        <v>849.0</v>
      </c>
      <c r="F239" s="7" t="s">
        <v>613</v>
      </c>
      <c r="G239" s="36" t="s">
        <v>16</v>
      </c>
      <c r="H239" s="37" t="str">
        <f>HYPERLINK("http://www.usrc.it/AppRendiConta/det_407_20170620.pdf","Determinazione USRC n.407 del 2017.pdf")</f>
        <v>Determinazione USRC n.407 del 2017.pdf</v>
      </c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>
      <c r="A240" s="7" t="s">
        <v>467</v>
      </c>
      <c r="B240" s="7" t="s">
        <v>402</v>
      </c>
      <c r="C240" s="8" t="s">
        <v>81</v>
      </c>
      <c r="D240" s="7" t="s">
        <v>32</v>
      </c>
      <c r="E240" s="10">
        <v>396.83</v>
      </c>
      <c r="F240" s="7" t="s">
        <v>614</v>
      </c>
      <c r="G240" s="36" t="s">
        <v>16</v>
      </c>
      <c r="H240" s="37" t="str">
        <f>HYPERLINK("http://www.usrc.it/AppRendiConta/det_413_20170621.pdf","Determinazione USRC n.413 del 2017.pdf")</f>
        <v>Determinazione USRC n.413 del 2017.pdf</v>
      </c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>
      <c r="A241" s="7" t="s">
        <v>526</v>
      </c>
      <c r="B241" s="7" t="s">
        <v>346</v>
      </c>
      <c r="C241" s="8" t="s">
        <v>347</v>
      </c>
      <c r="D241" s="7" t="s">
        <v>14</v>
      </c>
      <c r="E241" s="10">
        <v>127.14</v>
      </c>
      <c r="F241" s="7" t="s">
        <v>615</v>
      </c>
      <c r="G241" s="36" t="s">
        <v>16</v>
      </c>
      <c r="H241" s="37" t="str">
        <f>HYPERLINK("http://www.usrc.it/AppRendiConta/det_412_20170622.pdf","Determinazione USRC n.414 del 2017.pdf")</f>
        <v>Determinazione USRC n.414 del 2017.pdf</v>
      </c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>
      <c r="A242" s="7" t="s">
        <v>616</v>
      </c>
      <c r="B242" s="7" t="s">
        <v>617</v>
      </c>
      <c r="C242" s="40" t="s">
        <v>618</v>
      </c>
      <c r="D242" s="41" t="s">
        <v>14</v>
      </c>
      <c r="E242" s="42">
        <v>2294.82</v>
      </c>
      <c r="F242" s="7" t="s">
        <v>619</v>
      </c>
      <c r="G242" s="36" t="s">
        <v>16</v>
      </c>
      <c r="H242" s="37" t="str">
        <f>HYPERLINK("http://www.usrc.it/AppRendiConta/det_424_20170628.pdf","Determinazione USRC n.424 del 2017.pdf")</f>
        <v>Determinazione USRC n.424 del 2017.pdf</v>
      </c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>
      <c r="A243" s="7" t="s">
        <v>333</v>
      </c>
      <c r="B243" s="7" t="s">
        <v>334</v>
      </c>
      <c r="C243" s="8" t="s">
        <v>335</v>
      </c>
      <c r="D243" s="7" t="s">
        <v>32</v>
      </c>
      <c r="E243" s="10">
        <v>2736.0</v>
      </c>
      <c r="F243" s="7" t="s">
        <v>620</v>
      </c>
      <c r="G243" s="36" t="s">
        <v>16</v>
      </c>
      <c r="H243" s="37" t="str">
        <f>HYPERLINK("http://www.usrc.it/AppRendiConta/det_4385_20170630.pdf","Determinazione USRC n.438 del 2017.pdf")</f>
        <v>Determinazione USRC n.438 del 2017.pdf</v>
      </c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>
      <c r="A244" s="7" t="s">
        <v>621</v>
      </c>
      <c r="B244" s="7" t="s">
        <v>622</v>
      </c>
      <c r="C244" s="8" t="s">
        <v>623</v>
      </c>
      <c r="D244" s="7" t="s">
        <v>32</v>
      </c>
      <c r="E244" s="10">
        <v>329.6</v>
      </c>
      <c r="F244" s="7" t="s">
        <v>624</v>
      </c>
      <c r="G244" s="36" t="s">
        <v>16</v>
      </c>
      <c r="H244" s="37" t="str">
        <f>HYPERLINK("http://www.usrc.it/AppRendiConta/det_439_20170630.pdf","Determinazione USRC n.439 del 2017.pdf")</f>
        <v>Determinazione USRC n.439 del 2017.pdf</v>
      </c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>
      <c r="A245" s="7" t="s">
        <v>362</v>
      </c>
      <c r="B245" s="7" t="s">
        <v>363</v>
      </c>
      <c r="C245" s="8" t="s">
        <v>115</v>
      </c>
      <c r="D245" s="9" t="s">
        <v>14</v>
      </c>
      <c r="E245" s="10">
        <v>1630.5</v>
      </c>
      <c r="F245" s="7" t="s">
        <v>625</v>
      </c>
      <c r="G245" s="36" t="s">
        <v>16</v>
      </c>
      <c r="H245" s="37" t="str">
        <f>HYPERLINK("http://www.usrc.it/AppRendiConta/det_467_20170713.pdf","Determinazione USRC n.467 del 2017.pdf")</f>
        <v>Determinazione USRC n.467 del 2017.pdf</v>
      </c>
      <c r="I245" s="7"/>
      <c r="J245" s="7"/>
      <c r="K245" s="7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>
      <c r="A246" s="7" t="s">
        <v>382</v>
      </c>
      <c r="B246" s="7" t="s">
        <v>96</v>
      </c>
      <c r="C246" s="8" t="s">
        <v>97</v>
      </c>
      <c r="D246" s="7" t="s">
        <v>32</v>
      </c>
      <c r="E246" s="10">
        <v>429.45</v>
      </c>
      <c r="F246" s="7" t="s">
        <v>626</v>
      </c>
      <c r="G246" s="36" t="s">
        <v>16</v>
      </c>
      <c r="H246" s="37" t="str">
        <f>HYPERLINK("http://www.usrc.it/AppRendiConta/det_446_20170706.pdf","Determinazione USRC n.446 del 2017.pdf")</f>
        <v>Determinazione USRC n.446 del 2017.pdf</v>
      </c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>
      <c r="A247" s="7" t="s">
        <v>433</v>
      </c>
      <c r="B247" s="7" t="s">
        <v>248</v>
      </c>
      <c r="C247" s="8" t="s">
        <v>249</v>
      </c>
      <c r="D247" s="7" t="s">
        <v>14</v>
      </c>
      <c r="E247" s="10">
        <v>2425.52</v>
      </c>
      <c r="F247" s="7" t="s">
        <v>627</v>
      </c>
      <c r="G247" s="28" t="s">
        <v>572</v>
      </c>
      <c r="H247" s="37" t="str">
        <f>HYPERLINK("http://www.usrc.it/AppRendiConta/det_496_20170721.pdf","Determinazione USRC n.496 del 2017.pdf")</f>
        <v>Determinazione USRC n.496 del 2017.pdf</v>
      </c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>
      <c r="A248" s="7" t="s">
        <v>415</v>
      </c>
      <c r="B248" s="7" t="s">
        <v>530</v>
      </c>
      <c r="C248" s="8" t="s">
        <v>417</v>
      </c>
      <c r="D248" s="7" t="s">
        <v>14</v>
      </c>
      <c r="E248" s="10">
        <v>13232.12</v>
      </c>
      <c r="F248" s="7" t="s">
        <v>628</v>
      </c>
      <c r="G248" s="28" t="s">
        <v>572</v>
      </c>
      <c r="H248" s="37" t="str">
        <f>HYPERLINK("http://www.usrc.it/AppRendiConta/det_498_20170724.pdf","Determinazione USRC n.498 del 2017.pdf")</f>
        <v>Determinazione USRC n.498 del 2017.pdf</v>
      </c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>
      <c r="A249" s="7" t="s">
        <v>629</v>
      </c>
      <c r="B249" s="7" t="s">
        <v>630</v>
      </c>
      <c r="C249" s="8" t="s">
        <v>631</v>
      </c>
      <c r="D249" s="7" t="s">
        <v>32</v>
      </c>
      <c r="E249" s="10">
        <v>454.31</v>
      </c>
      <c r="F249" s="7" t="s">
        <v>632</v>
      </c>
      <c r="G249" s="36" t="s">
        <v>16</v>
      </c>
      <c r="H249" s="37" t="str">
        <f>HYPERLINK("http://www.usrc.it/AppRendiConta/det_499_20170724.pdf","Determinazione USRC n.499 del 2017.pdf")</f>
        <v>Determinazione USRC n.499 del 2017.pdf</v>
      </c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>
      <c r="A250" s="7" t="s">
        <v>616</v>
      </c>
      <c r="B250" s="7" t="s">
        <v>617</v>
      </c>
      <c r="C250" s="8" t="s">
        <v>618</v>
      </c>
      <c r="D250" s="7" t="s">
        <v>14</v>
      </c>
      <c r="E250" s="10">
        <v>690.96</v>
      </c>
      <c r="F250" s="7" t="s">
        <v>633</v>
      </c>
      <c r="G250" s="36" t="s">
        <v>16</v>
      </c>
      <c r="H250" s="37" t="str">
        <f>HYPERLINK("http://www.usrc.it/AppRendiConta/det_500_20170724.pdf","Determinazione USRC n.500 del 2017.pdf")</f>
        <v>Determinazione USRC n.500 del 2017.pdf</v>
      </c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>
      <c r="A251" s="7" t="s">
        <v>533</v>
      </c>
      <c r="B251" s="7" t="s">
        <v>366</v>
      </c>
      <c r="C251" s="8" t="s">
        <v>367</v>
      </c>
      <c r="D251" s="7" t="s">
        <v>14</v>
      </c>
      <c r="E251" s="10">
        <v>114.07</v>
      </c>
      <c r="F251" s="7" t="s">
        <v>634</v>
      </c>
      <c r="G251" s="36" t="s">
        <v>16</v>
      </c>
      <c r="H251" s="37" t="str">
        <f>HYPERLINK("http://www.usrc.it/AppRendiConta/det_509_20170726.pdf","Determinazione USRC n.509 del 2017.pdf")</f>
        <v>Determinazione USRC n.509 del 2017.pdf</v>
      </c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>
      <c r="A252" s="7" t="s">
        <v>382</v>
      </c>
      <c r="B252" s="7" t="s">
        <v>96</v>
      </c>
      <c r="C252" s="8" t="s">
        <v>97</v>
      </c>
      <c r="D252" s="7" t="s">
        <v>14</v>
      </c>
      <c r="E252" s="10">
        <v>796.79</v>
      </c>
      <c r="F252" s="7" t="s">
        <v>635</v>
      </c>
      <c r="G252" s="36" t="s">
        <v>16</v>
      </c>
      <c r="H252" s="37" t="str">
        <f>HYPERLINK("http://www.usrc.it/AppRendiConta/det_510_20170726.pdf","Determinazione USRC n.510 del 2017.pdf")</f>
        <v>Determinazione USRC n.510 del 2017.pdf</v>
      </c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>
      <c r="A253" s="7" t="s">
        <v>636</v>
      </c>
      <c r="B253" s="7" t="s">
        <v>91</v>
      </c>
      <c r="C253" s="8" t="s">
        <v>92</v>
      </c>
      <c r="D253" s="7" t="s">
        <v>14</v>
      </c>
      <c r="E253" s="10">
        <v>6672.0</v>
      </c>
      <c r="F253" s="7" t="s">
        <v>637</v>
      </c>
      <c r="G253" s="36" t="s">
        <v>419</v>
      </c>
      <c r="H253" s="37" t="str">
        <f>HYPERLINK("http://www.usrc.it/AppRendiConta/det_511_20170726.pdf","Determinazione USRC n.511 del 2017.pdf")</f>
        <v>Determinazione USRC n.511 del 2017.pdf</v>
      </c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>
      <c r="A254" s="7" t="s">
        <v>638</v>
      </c>
      <c r="B254" s="7" t="s">
        <v>107</v>
      </c>
      <c r="C254" s="8" t="s">
        <v>108</v>
      </c>
      <c r="D254" s="9" t="s">
        <v>14</v>
      </c>
      <c r="E254" s="10">
        <v>6647.0</v>
      </c>
      <c r="F254" s="7" t="s">
        <v>639</v>
      </c>
      <c r="G254" s="7" t="s">
        <v>16</v>
      </c>
      <c r="H254" s="21" t="str">
        <f>HYPERLINK("http://www.usrc.it/AppRendiConta/det_522_20170801.pdf","Determinazione USRC n.522 del 2017.pdf")</f>
        <v>Determinazione USRC n.522 del 2017.pdf</v>
      </c>
      <c r="I254" s="7"/>
      <c r="J254" s="7"/>
      <c r="K254" s="8"/>
      <c r="L254" s="43"/>
      <c r="M254" s="44"/>
      <c r="N254" s="18"/>
      <c r="O254" s="18"/>
      <c r="P254" s="45"/>
      <c r="Q254" s="13"/>
      <c r="R254" s="13"/>
      <c r="S254" s="13"/>
      <c r="T254" s="13"/>
      <c r="U254" s="13"/>
      <c r="V254" s="13"/>
    </row>
    <row r="255">
      <c r="A255" s="7" t="s">
        <v>407</v>
      </c>
      <c r="B255" s="7" t="s">
        <v>405</v>
      </c>
      <c r="C255" s="8" t="s">
        <v>195</v>
      </c>
      <c r="D255" s="7" t="s">
        <v>14</v>
      </c>
      <c r="E255" s="10">
        <v>3240.0</v>
      </c>
      <c r="F255" s="7" t="s">
        <v>640</v>
      </c>
      <c r="G255" s="7" t="s">
        <v>16</v>
      </c>
      <c r="H255" s="21" t="str">
        <f>HYPERLINK("http://www.usrc.it/AppRendiConta/det_527_20170802.pdf","Determinazione USRC n.527 del 2017.pdf")</f>
        <v>Determinazione USRC n.527 del 2017.pdf</v>
      </c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>
      <c r="A256" s="7" t="s">
        <v>333</v>
      </c>
      <c r="B256" s="7" t="s">
        <v>334</v>
      </c>
      <c r="C256" s="8" t="s">
        <v>335</v>
      </c>
      <c r="D256" s="7" t="s">
        <v>32</v>
      </c>
      <c r="E256" s="10">
        <v>5472.0</v>
      </c>
      <c r="F256" s="7" t="s">
        <v>641</v>
      </c>
      <c r="G256" s="7" t="s">
        <v>423</v>
      </c>
      <c r="H256" s="21" t="str">
        <f>HYPERLINK("http://www.usrc.it/AppRendiConta/det_528_20170802.pdf","Determinazione USRC n.528 del 2017.pdf")</f>
        <v>Determinazione USRC n.528 del 2017.pdf</v>
      </c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>
      <c r="A257" s="7" t="s">
        <v>642</v>
      </c>
      <c r="B257" s="7" t="s">
        <v>643</v>
      </c>
      <c r="C257" s="8" t="s">
        <v>644</v>
      </c>
      <c r="D257" s="7" t="s">
        <v>14</v>
      </c>
      <c r="E257" s="10">
        <v>173.07</v>
      </c>
      <c r="F257" s="7" t="s">
        <v>645</v>
      </c>
      <c r="G257" s="7" t="s">
        <v>16</v>
      </c>
      <c r="H257" s="21" t="str">
        <f>HYPERLINK("http://www.usrc.it/AppRendiConta/det_529_20170802.pdf","Determinazione USRC n.529 del 2017.pdf")</f>
        <v>Determinazione USRC n.529 del 2017.pdf</v>
      </c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>
      <c r="A258" s="7" t="s">
        <v>382</v>
      </c>
      <c r="B258" s="7" t="s">
        <v>96</v>
      </c>
      <c r="C258" s="8" t="s">
        <v>97</v>
      </c>
      <c r="D258" s="7" t="s">
        <v>32</v>
      </c>
      <c r="E258" s="10">
        <v>724.13</v>
      </c>
      <c r="F258" s="7" t="s">
        <v>646</v>
      </c>
      <c r="G258" s="7" t="s">
        <v>16</v>
      </c>
      <c r="H258" s="21" t="str">
        <f>HYPERLINK("http://www.usrc.it/AppRendiConta/det_551_20170829.pdf","Determinazione USRC n.551 del 2017.pdf")</f>
        <v>Determinazione USRC n.551 del 2017.pdf</v>
      </c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>
      <c r="A259" s="7" t="s">
        <v>420</v>
      </c>
      <c r="B259" s="7" t="s">
        <v>530</v>
      </c>
      <c r="C259" s="8" t="s">
        <v>417</v>
      </c>
      <c r="D259" s="7" t="s">
        <v>14</v>
      </c>
      <c r="E259" s="10">
        <v>7110.9</v>
      </c>
      <c r="F259" s="7" t="s">
        <v>647</v>
      </c>
      <c r="G259" s="7" t="s">
        <v>419</v>
      </c>
      <c r="H259" s="21" t="str">
        <f>HYPERLINK("http://www.usrc.it/AppRendiConta/det_552_20170829.pdf","Determinazione USRC n.552 del 2017.pdf")</f>
        <v>Determinazione USRC n.552 del 2017.pdf</v>
      </c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>
      <c r="A260" s="7" t="s">
        <v>517</v>
      </c>
      <c r="B260" s="7" t="s">
        <v>518</v>
      </c>
      <c r="C260" s="8" t="s">
        <v>69</v>
      </c>
      <c r="D260" s="7" t="s">
        <v>14</v>
      </c>
      <c r="E260" s="10">
        <v>999.37</v>
      </c>
      <c r="F260" s="7" t="s">
        <v>648</v>
      </c>
      <c r="G260" s="7" t="s">
        <v>16</v>
      </c>
      <c r="H260" s="21" t="str">
        <f>HYPERLINK("http://www.usrc.it/AppRendiConta/det_553_20170829.pdf","Determinazione USRC n.553 del 2017.pdf")</f>
        <v>Determinazione USRC n.553 del 2017.pdf</v>
      </c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>
      <c r="A261" s="7" t="s">
        <v>514</v>
      </c>
      <c r="B261" s="7" t="s">
        <v>515</v>
      </c>
      <c r="C261" s="8" t="s">
        <v>69</v>
      </c>
      <c r="D261" s="7" t="s">
        <v>14</v>
      </c>
      <c r="E261" s="10">
        <v>1241.59</v>
      </c>
      <c r="F261" s="7" t="s">
        <v>649</v>
      </c>
      <c r="G261" s="7" t="s">
        <v>16</v>
      </c>
      <c r="H261" s="21" t="str">
        <f>HYPERLINK("http://www.usrc.it/AppRendiConta/det_554_20170829.pdf","Determinazione USRC n.554 del 2017.pdf")</f>
        <v>Determinazione USRC n.554 del 2017.pdf</v>
      </c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>
      <c r="A262" s="7" t="s">
        <v>526</v>
      </c>
      <c r="B262" s="7" t="s">
        <v>346</v>
      </c>
      <c r="C262" s="8" t="s">
        <v>347</v>
      </c>
      <c r="D262" s="7" t="s">
        <v>14</v>
      </c>
      <c r="E262" s="10">
        <v>129.0</v>
      </c>
      <c r="F262" s="7" t="s">
        <v>650</v>
      </c>
      <c r="G262" s="7" t="s">
        <v>16</v>
      </c>
      <c r="H262" s="21" t="str">
        <f>HYPERLINK("http://www.usrc.it/AppRendiConta/det_555_20170829.pdf","Determinazione USRC n.555 del 2017.pdf")</f>
        <v>Determinazione USRC n.555 del 2017.pdf</v>
      </c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>
      <c r="A263" s="7" t="s">
        <v>514</v>
      </c>
      <c r="B263" s="7" t="s">
        <v>515</v>
      </c>
      <c r="C263" s="8" t="s">
        <v>69</v>
      </c>
      <c r="D263" s="7" t="s">
        <v>14</v>
      </c>
      <c r="E263" s="10">
        <v>1191.49</v>
      </c>
      <c r="F263" s="7" t="s">
        <v>651</v>
      </c>
      <c r="G263" s="7" t="s">
        <v>16</v>
      </c>
      <c r="H263" s="21" t="str">
        <f>HYPERLINK("http://www.usrc.it/AppRendiConta/det_556_20170829.pdf","Determinazione USRC n.556 del 2017.pdf")</f>
        <v>Determinazione USRC n.556 del 2017.pdf</v>
      </c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>
      <c r="A264" s="7" t="s">
        <v>514</v>
      </c>
      <c r="B264" s="7" t="s">
        <v>515</v>
      </c>
      <c r="C264" s="8" t="s">
        <v>69</v>
      </c>
      <c r="D264" s="7" t="s">
        <v>14</v>
      </c>
      <c r="E264" s="10">
        <v>2002.81</v>
      </c>
      <c r="F264" s="7" t="s">
        <v>652</v>
      </c>
      <c r="G264" s="7" t="s">
        <v>16</v>
      </c>
      <c r="H264" s="21" t="str">
        <f>HYPERLINK("http://www.usrc.it/AppRendiConta/det_557_20170829.pdf","Determinazione USRC n.557 del 2017.pdf")</f>
        <v>Determinazione USRC n.557 del 2017.pdf</v>
      </c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>
      <c r="A265" s="7" t="s">
        <v>653</v>
      </c>
      <c r="B265" s="7" t="s">
        <v>487</v>
      </c>
      <c r="C265" s="8" t="s">
        <v>488</v>
      </c>
      <c r="D265" s="7" t="s">
        <v>32</v>
      </c>
      <c r="E265" s="10">
        <v>563.0</v>
      </c>
      <c r="F265" s="7" t="s">
        <v>654</v>
      </c>
      <c r="G265" s="7" t="s">
        <v>16</v>
      </c>
      <c r="H265" s="21" t="str">
        <f>HYPERLINK("http://www.usrc.it/AppRendiConta/det_558_20170829.pdf","Determinazione USRC n.558 del 2017.pdf")</f>
        <v>Determinazione USRC n.558 del 2017.pdf</v>
      </c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>
      <c r="A266" s="7"/>
      <c r="B266" s="32" t="s">
        <v>583</v>
      </c>
      <c r="C266" s="33"/>
      <c r="D266" s="28" t="s">
        <v>14</v>
      </c>
      <c r="E266" s="10">
        <v>404.93</v>
      </c>
      <c r="F266" s="28" t="s">
        <v>655</v>
      </c>
      <c r="G266" s="28" t="s">
        <v>16</v>
      </c>
      <c r="H266" s="35" t="str">
        <f>HYPERLINK("http://www.usrc.it/AppRendiConta/det_560_20170830.pdf","Determinazione USRC n.560 del 2017.pdf")</f>
        <v>Determinazione USRC n.560 del 2017.pdf</v>
      </c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>
      <c r="A267" s="7" t="s">
        <v>369</v>
      </c>
      <c r="B267" s="7" t="s">
        <v>370</v>
      </c>
      <c r="C267" s="8" t="s">
        <v>371</v>
      </c>
      <c r="D267" s="7" t="s">
        <v>14</v>
      </c>
      <c r="E267" s="46">
        <v>460.0</v>
      </c>
      <c r="F267" s="7" t="s">
        <v>656</v>
      </c>
      <c r="G267" s="28" t="s">
        <v>16</v>
      </c>
      <c r="H267" s="35" t="str">
        <f>HYPERLINK("http://www.usrc.it/AppRendiConta/det_567_20170905.pdf","Determinazione USRC n.567 del 2017.pdf")</f>
        <v>Determinazione USRC n.567 del 2017.pdf</v>
      </c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>
      <c r="A268" s="7" t="s">
        <v>657</v>
      </c>
      <c r="B268" s="7" t="s">
        <v>363</v>
      </c>
      <c r="C268" s="8" t="s">
        <v>115</v>
      </c>
      <c r="D268" s="28" t="s">
        <v>14</v>
      </c>
      <c r="E268" s="46">
        <v>350.0</v>
      </c>
      <c r="F268" s="7" t="s">
        <v>658</v>
      </c>
      <c r="G268" s="28" t="s">
        <v>16</v>
      </c>
      <c r="H268" s="35" t="str">
        <f>HYPERLINK("http://www.usrc.it/AppRendiConta/det_568_20170906.pdf","Determinazione USRC n.568 del 2017.pdf")</f>
        <v>Determinazione USRC n.568 del 2017.pdf</v>
      </c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>
      <c r="A269" s="7" t="s">
        <v>616</v>
      </c>
      <c r="B269" s="7" t="s">
        <v>617</v>
      </c>
      <c r="C269" s="8" t="s">
        <v>618</v>
      </c>
      <c r="D269" s="7" t="s">
        <v>14</v>
      </c>
      <c r="E269" s="46">
        <v>1529.88</v>
      </c>
      <c r="F269" s="7" t="s">
        <v>659</v>
      </c>
      <c r="G269" s="28" t="s">
        <v>16</v>
      </c>
      <c r="H269" s="35" t="str">
        <f>HYPERLINK("http://www.usrc.it/AppRendiConta/det_602_20170914.pdf","Determinazione USRC n.602 del 2017.pdf")</f>
        <v>Determinazione USRC n.602 del 2017.pdf</v>
      </c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>
      <c r="A270" s="7" t="s">
        <v>660</v>
      </c>
      <c r="B270" s="7" t="s">
        <v>661</v>
      </c>
      <c r="C270" s="8" t="s">
        <v>662</v>
      </c>
      <c r="D270" s="7" t="s">
        <v>14</v>
      </c>
      <c r="E270" s="46">
        <v>80.0</v>
      </c>
      <c r="F270" s="7" t="s">
        <v>663</v>
      </c>
      <c r="G270" s="28" t="s">
        <v>16</v>
      </c>
      <c r="H270" s="35" t="str">
        <f>HYPERLINK("http://www.usrc.it/AppRendiConta/det_603_20170914.pdf","Determinazione USRC n.603 del 2017.pdf")</f>
        <v>Determinazione USRC n.603 del 2017.pdf</v>
      </c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>
      <c r="A271" s="7" t="s">
        <v>415</v>
      </c>
      <c r="B271" s="7" t="s">
        <v>530</v>
      </c>
      <c r="C271" s="8" t="s">
        <v>417</v>
      </c>
      <c r="D271" s="7" t="s">
        <v>14</v>
      </c>
      <c r="E271" s="46">
        <v>6376.56</v>
      </c>
      <c r="F271" s="7" t="s">
        <v>664</v>
      </c>
      <c r="G271" s="7" t="s">
        <v>419</v>
      </c>
      <c r="H271" s="35" t="str">
        <f>HYPERLINK("http://www.usrc.it/AppRendiConta/det_609_20170922.pdf","Determinazione USRC n.609 del 2017.pdf")</f>
        <v>Determinazione USRC n.609 del 2017.pdf</v>
      </c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>
      <c r="A272" s="7" t="s">
        <v>420</v>
      </c>
      <c r="B272" s="7" t="s">
        <v>530</v>
      </c>
      <c r="C272" s="8" t="s">
        <v>417</v>
      </c>
      <c r="D272" s="7" t="s">
        <v>14</v>
      </c>
      <c r="E272" s="46">
        <v>1370.7</v>
      </c>
      <c r="F272" s="7" t="s">
        <v>665</v>
      </c>
      <c r="G272" s="7" t="s">
        <v>419</v>
      </c>
      <c r="H272" s="35" t="str">
        <f>HYPERLINK("http://www.usrc.it/AppRendiConta/det_610_20170922.pdf","Determinazione USRC n.610 del 2017.pdf")</f>
        <v>Determinazione USRC n.610 del 2017.pdf</v>
      </c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>
      <c r="A273" s="7" t="s">
        <v>666</v>
      </c>
      <c r="B273" s="7" t="s">
        <v>667</v>
      </c>
      <c r="C273" s="8" t="s">
        <v>575</v>
      </c>
      <c r="D273" s="7" t="s">
        <v>32</v>
      </c>
      <c r="E273" s="46">
        <v>15.99</v>
      </c>
      <c r="F273" s="7" t="s">
        <v>668</v>
      </c>
      <c r="G273" s="28" t="s">
        <v>16</v>
      </c>
      <c r="H273" s="35" t="str">
        <f>HYPERLINK("http://www.usrc.it/AppRendiConta/det_611_20170922.pdf","Determinazione USRC n.611 del 2017.pdf")</f>
        <v>Determinazione USRC n.611 del 2017.pdf</v>
      </c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>
      <c r="A274" s="7" t="s">
        <v>533</v>
      </c>
      <c r="B274" s="7" t="s">
        <v>366</v>
      </c>
      <c r="C274" s="8" t="s">
        <v>367</v>
      </c>
      <c r="D274" s="7" t="s">
        <v>14</v>
      </c>
      <c r="E274" s="46">
        <v>165.3</v>
      </c>
      <c r="F274" s="7" t="s">
        <v>669</v>
      </c>
      <c r="G274" s="7" t="s">
        <v>16</v>
      </c>
      <c r="H274" s="35" t="str">
        <f>HYPERLINK("http://www.usrc.it/AppRendiConta/det_612_20170925.pdf","Determinazione USRC n.612 del 2017.pdf")</f>
        <v>Determinazione USRC n.612 del 2017.pdf</v>
      </c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>
      <c r="A275" s="7" t="s">
        <v>467</v>
      </c>
      <c r="B275" s="7" t="s">
        <v>402</v>
      </c>
      <c r="C275" s="8" t="s">
        <v>81</v>
      </c>
      <c r="D275" s="7" t="s">
        <v>32</v>
      </c>
      <c r="E275" s="46">
        <v>361.15</v>
      </c>
      <c r="F275" s="7" t="s">
        <v>670</v>
      </c>
      <c r="G275" s="7" t="s">
        <v>16</v>
      </c>
      <c r="H275" s="35" t="str">
        <f>HYPERLINK("http://www.usrc.it/AppRendiConta/det_613_20170925.pdf","Determinazione USRC n.613 del 2017.pdf")</f>
        <v>Determinazione USRC n.613 del 2017.pdf</v>
      </c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>
      <c r="A276" s="7" t="s">
        <v>382</v>
      </c>
      <c r="B276" s="7" t="s">
        <v>96</v>
      </c>
      <c r="C276" s="8" t="s">
        <v>97</v>
      </c>
      <c r="D276" s="7" t="s">
        <v>14</v>
      </c>
      <c r="E276" s="46">
        <v>808.56</v>
      </c>
      <c r="F276" s="7" t="s">
        <v>671</v>
      </c>
      <c r="G276" s="7" t="s">
        <v>16</v>
      </c>
      <c r="H276" s="35" t="str">
        <f>HYPERLINK("http://www.usrc.it/AppRendiConta/det_614_20170925.pdf","Determinazione USRC n.614 del 2017.pdf")</f>
        <v>Determinazione USRC n.614 del 2017.pdf</v>
      </c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>
      <c r="A277" s="47" t="s">
        <v>638</v>
      </c>
      <c r="B277" s="48" t="s">
        <v>107</v>
      </c>
      <c r="C277" s="49" t="s">
        <v>108</v>
      </c>
      <c r="D277" s="48" t="s">
        <v>14</v>
      </c>
      <c r="E277" s="10">
        <v>6647.0</v>
      </c>
      <c r="F277" s="7" t="s">
        <v>672</v>
      </c>
      <c r="G277" s="7" t="s">
        <v>16</v>
      </c>
      <c r="H277" s="21" t="str">
        <f>HYPERLINK("http://www.usrc.it/AppRendiConta/det_646_20171004.pdf","Determinazione USRC n.646 del 2017.pdf")</f>
        <v>Determinazione USRC n.646 del 2017.pdf</v>
      </c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>
      <c r="A278" s="7" t="s">
        <v>362</v>
      </c>
      <c r="B278" s="7" t="s">
        <v>363</v>
      </c>
      <c r="C278" s="8" t="s">
        <v>115</v>
      </c>
      <c r="D278" s="9" t="s">
        <v>14</v>
      </c>
      <c r="E278" s="10">
        <v>3590.0</v>
      </c>
      <c r="F278" s="7" t="s">
        <v>673</v>
      </c>
      <c r="G278" s="36" t="s">
        <v>16</v>
      </c>
      <c r="H278" s="37" t="str">
        <f>HYPERLINK("http://www.usrc.it/AppRendiConta/det_651_20171004.pdf","Determinazione USRC n.651 del 2017.pdf")</f>
        <v>Determinazione USRC n.651 del 2017.pdf</v>
      </c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>
      <c r="A279" s="7" t="s">
        <v>333</v>
      </c>
      <c r="B279" s="7" t="s">
        <v>334</v>
      </c>
      <c r="C279" s="8" t="s">
        <v>335</v>
      </c>
      <c r="D279" s="7" t="s">
        <v>32</v>
      </c>
      <c r="E279" s="46">
        <v>5472.0</v>
      </c>
      <c r="F279" s="7" t="s">
        <v>674</v>
      </c>
      <c r="G279" s="7" t="s">
        <v>423</v>
      </c>
      <c r="H279" s="37" t="str">
        <f>HYPERLINK("http://www.usrc.it/AppRendiConta/det_653_20171005.pdf","Determinazione USRC n.653 del 2017.pdf")</f>
        <v>Determinazione USRC n.653 del 2017.pdf</v>
      </c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>
      <c r="A280" s="7" t="s">
        <v>675</v>
      </c>
      <c r="B280" s="7" t="s">
        <v>388</v>
      </c>
      <c r="C280" s="8" t="s">
        <v>277</v>
      </c>
      <c r="D280" s="7" t="s">
        <v>32</v>
      </c>
      <c r="E280" s="46">
        <v>145.0</v>
      </c>
      <c r="F280" s="7" t="s">
        <v>676</v>
      </c>
      <c r="G280" s="7" t="s">
        <v>16</v>
      </c>
      <c r="H280" s="37" t="str">
        <f>HYPERLINK("http://www.usrc.it/AppRendiConta/det_654_20171005.pdf","Determinazione USRC n.654 del 2017.pdf")</f>
        <v>Determinazione USRC n.654 del 2017.pdf</v>
      </c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>
      <c r="A281" s="7" t="s">
        <v>467</v>
      </c>
      <c r="B281" s="7" t="s">
        <v>402</v>
      </c>
      <c r="C281" s="8" t="s">
        <v>81</v>
      </c>
      <c r="D281" s="7" t="s">
        <v>32</v>
      </c>
      <c r="E281" s="46">
        <v>193.87</v>
      </c>
      <c r="F281" s="7" t="s">
        <v>677</v>
      </c>
      <c r="G281" s="7" t="s">
        <v>16</v>
      </c>
      <c r="H281" s="37" t="str">
        <f>HYPERLINK("http://www.usrc.it/AppRendiConta/det_655_20171005.pdf","Determinazione USRC n.655 del 2017.pdf")</f>
        <v>Determinazione USRC n.655 del 2017.pdf</v>
      </c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>
      <c r="A282" s="7" t="s">
        <v>514</v>
      </c>
      <c r="B282" s="7" t="s">
        <v>515</v>
      </c>
      <c r="C282" s="8" t="s">
        <v>69</v>
      </c>
      <c r="D282" s="7" t="s">
        <v>14</v>
      </c>
      <c r="E282" s="46">
        <v>1220.28</v>
      </c>
      <c r="F282" s="7" t="s">
        <v>678</v>
      </c>
      <c r="G282" s="7" t="s">
        <v>16</v>
      </c>
      <c r="H282" s="37" t="str">
        <f>HYPERLINK("http://www.usrc.it/AppRendiConta/det_678_20171016.pdf","Determinazione USRC n.678 del 2017.pdf")</f>
        <v>Determinazione USRC n.678 del 2017.pdf</v>
      </c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>
      <c r="A283" s="7" t="s">
        <v>517</v>
      </c>
      <c r="B283" s="7" t="s">
        <v>518</v>
      </c>
      <c r="C283" s="8" t="s">
        <v>69</v>
      </c>
      <c r="D283" s="7" t="s">
        <v>14</v>
      </c>
      <c r="E283" s="46">
        <v>1009.12</v>
      </c>
      <c r="F283" s="7" t="s">
        <v>679</v>
      </c>
      <c r="G283" s="7" t="s">
        <v>16</v>
      </c>
      <c r="H283" s="37" t="str">
        <f>HYPERLINK("http://www.usrc.it/AppRendiConta/det_677_20171016.pdf","Determinazione USRC n.677 del 2017.pdf")</f>
        <v>Determinazione USRC n.677 del 2017.pdf</v>
      </c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>
      <c r="A284" s="7" t="s">
        <v>680</v>
      </c>
      <c r="B284" s="7" t="s">
        <v>346</v>
      </c>
      <c r="C284" s="8" t="s">
        <v>347</v>
      </c>
      <c r="D284" s="7" t="s">
        <v>14</v>
      </c>
      <c r="E284" s="46">
        <v>138.15</v>
      </c>
      <c r="F284" s="7" t="s">
        <v>681</v>
      </c>
      <c r="G284" s="7" t="s">
        <v>16</v>
      </c>
      <c r="H284" s="37" t="str">
        <f>HYPERLINK("http://www.usrc.it/AppRendiConta/det_676_20171016.pdf","Determinazione USRC n.676 del 2017.pdf")</f>
        <v>Determinazione USRC n.676 del 2017.pdf</v>
      </c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>
      <c r="A285" s="7" t="s">
        <v>682</v>
      </c>
      <c r="B285" s="7" t="s">
        <v>363</v>
      </c>
      <c r="C285" s="8" t="s">
        <v>115</v>
      </c>
      <c r="D285" s="9" t="s">
        <v>14</v>
      </c>
      <c r="E285" s="10">
        <v>1110.0</v>
      </c>
      <c r="F285" s="7" t="s">
        <v>683</v>
      </c>
      <c r="G285" s="36" t="s">
        <v>16</v>
      </c>
      <c r="H285" s="37" t="str">
        <f>HYPERLINK("http://www.usrc.it/AppRendiConta/det_687_20171025.pdf","Determinazione USRC n.687 del 2017.pdf")</f>
        <v>Determinazione USRC n.687 del 2017.pdf</v>
      </c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>
      <c r="A286" s="7" t="s">
        <v>382</v>
      </c>
      <c r="B286" s="7" t="s">
        <v>96</v>
      </c>
      <c r="C286" s="8" t="s">
        <v>97</v>
      </c>
      <c r="D286" s="9" t="s">
        <v>32</v>
      </c>
      <c r="E286" s="10">
        <v>532.29</v>
      </c>
      <c r="F286" s="7" t="s">
        <v>684</v>
      </c>
      <c r="G286" s="36" t="s">
        <v>16</v>
      </c>
      <c r="H286" s="37" t="str">
        <f>HYPERLINK("http://www.usrc.it/AppRendiConta/det_697_20171026.pdf","Determinazione USRC n.697 del 2017.pdf")</f>
        <v>Determinazione USRC n.697 del 2017.pdf</v>
      </c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>
      <c r="A287" s="7" t="s">
        <v>420</v>
      </c>
      <c r="B287" s="7" t="s">
        <v>530</v>
      </c>
      <c r="C287" s="8" t="s">
        <v>417</v>
      </c>
      <c r="D287" s="7" t="s">
        <v>14</v>
      </c>
      <c r="E287" s="10">
        <v>1370.7</v>
      </c>
      <c r="F287" s="7" t="s">
        <v>685</v>
      </c>
      <c r="G287" s="36" t="s">
        <v>16</v>
      </c>
      <c r="H287" s="37" t="str">
        <f>HYPERLINK("http://www.usrc.it/AppRendiConta/det_712_20171107.pdf","Determinazione USRC n.712 del 2017.pdf")</f>
        <v>Determinazione USRC n.712 del 2017.pdf</v>
      </c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>
      <c r="A288" s="7" t="s">
        <v>415</v>
      </c>
      <c r="B288" s="7" t="s">
        <v>530</v>
      </c>
      <c r="C288" s="8" t="s">
        <v>417</v>
      </c>
      <c r="D288" s="7" t="s">
        <v>14</v>
      </c>
      <c r="E288" s="10">
        <v>3308.03</v>
      </c>
      <c r="F288" s="7" t="s">
        <v>686</v>
      </c>
      <c r="G288" s="36" t="s">
        <v>16</v>
      </c>
      <c r="H288" s="37" t="str">
        <f>HYPERLINK("http://www.usrc.it/AppRendiConta/det_713_20171107.pdf","Determinazione USRC n.713 del 2017.pdf")</f>
        <v>Determinazione USRC n.713 del 2017.pdf</v>
      </c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>
      <c r="A289" s="7" t="s">
        <v>616</v>
      </c>
      <c r="B289" s="7" t="s">
        <v>617</v>
      </c>
      <c r="C289" s="8" t="s">
        <v>618</v>
      </c>
      <c r="D289" s="7" t="s">
        <v>14</v>
      </c>
      <c r="E289" s="10">
        <v>1529.88</v>
      </c>
      <c r="F289" s="7" t="s">
        <v>687</v>
      </c>
      <c r="G289" s="36" t="s">
        <v>16</v>
      </c>
      <c r="H289" s="37" t="str">
        <f>HYPERLINK("http://www.usrc.it/AppRendiConta/det_714_20171107.pdf","Determinazione USRC n.714 del 2017.pdf")</f>
        <v>Determinazione USRC n.714 del 2017.pdf</v>
      </c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>
      <c r="A290" s="7" t="s">
        <v>688</v>
      </c>
      <c r="B290" s="7" t="s">
        <v>500</v>
      </c>
      <c r="C290" s="8" t="s">
        <v>501</v>
      </c>
      <c r="D290" s="7" t="s">
        <v>14</v>
      </c>
      <c r="E290" s="10">
        <v>1954.0</v>
      </c>
      <c r="F290" s="7" t="s">
        <v>689</v>
      </c>
      <c r="G290" s="36" t="s">
        <v>16</v>
      </c>
      <c r="H290" s="37" t="str">
        <f>HYPERLINK("http://www.usrc.it/AppRendiConta/det_716_20171108.pdf","Determinazione USRC n.716 del 2017.pdf")</f>
        <v>Determinazione USRC n.716 del 2017.pdf</v>
      </c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>
      <c r="A291" s="7" t="s">
        <v>566</v>
      </c>
      <c r="B291" s="7" t="s">
        <v>567</v>
      </c>
      <c r="C291" s="8" t="s">
        <v>568</v>
      </c>
      <c r="D291" s="7" t="s">
        <v>32</v>
      </c>
      <c r="E291" s="10">
        <v>4347.2</v>
      </c>
      <c r="F291" s="7" t="s">
        <v>690</v>
      </c>
      <c r="G291" s="36" t="s">
        <v>16</v>
      </c>
      <c r="H291" s="37" t="str">
        <f>HYPERLINK("http://www.usrc.it/AppRendiConta/det_717_20171108.pdf","Determinazione USRC n.717 del 2017.pdf")</f>
        <v>Determinazione USRC n.717 del 2017.pdf</v>
      </c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>
      <c r="A292" s="7" t="s">
        <v>517</v>
      </c>
      <c r="B292" s="7" t="s">
        <v>518</v>
      </c>
      <c r="C292" s="8" t="s">
        <v>69</v>
      </c>
      <c r="D292" s="7" t="s">
        <v>14</v>
      </c>
      <c r="E292" s="10">
        <v>1050.0</v>
      </c>
      <c r="F292" s="7" t="s">
        <v>691</v>
      </c>
      <c r="G292" s="36" t="s">
        <v>16</v>
      </c>
      <c r="H292" s="37" t="str">
        <f>HYPERLINK("http://www.usrc.it/AppRendiConta/det_718_20171109.pdf","Determinazione USRC n.718 del 2017.pdf")</f>
        <v>Determinazione USRC n.718 del 2017.pdf</v>
      </c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>
      <c r="A293" s="7" t="s">
        <v>692</v>
      </c>
      <c r="B293" s="7" t="s">
        <v>693</v>
      </c>
      <c r="C293" s="8" t="s">
        <v>694</v>
      </c>
      <c r="D293" s="7" t="s">
        <v>14</v>
      </c>
      <c r="E293" s="10">
        <v>3500.0</v>
      </c>
      <c r="F293" s="7" t="s">
        <v>695</v>
      </c>
      <c r="G293" s="36" t="s">
        <v>16</v>
      </c>
      <c r="H293" s="37" t="str">
        <f>HYPERLINK("http://www.usrc.it/AppRendiConta/det_735_20171114.pdf","Determinazione USRC n.735 del 2017.pdf")</f>
        <v>Determinazione USRC n.735 del 2017.pdf</v>
      </c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>
      <c r="A294" s="7" t="s">
        <v>696</v>
      </c>
      <c r="B294" s="7" t="s">
        <v>697</v>
      </c>
      <c r="C294" s="8" t="s">
        <v>698</v>
      </c>
      <c r="D294" s="7" t="s">
        <v>14</v>
      </c>
      <c r="E294" s="10">
        <v>114.11</v>
      </c>
      <c r="F294" s="7" t="s">
        <v>699</v>
      </c>
      <c r="G294" s="36" t="s">
        <v>16</v>
      </c>
      <c r="H294" s="37" t="str">
        <f>HYPERLINK("http://www.usrc.it/AppRendiConta/det_736_20171114.pdf","Determinazione USRC n.736 del 2017.pdf")</f>
        <v>Determinazione USRC n.736 del 2017.pdf</v>
      </c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>
      <c r="A295" s="7" t="s">
        <v>700</v>
      </c>
      <c r="B295" s="7" t="s">
        <v>512</v>
      </c>
      <c r="C295" s="8" t="s">
        <v>45</v>
      </c>
      <c r="D295" s="7" t="s">
        <v>14</v>
      </c>
      <c r="E295" s="10">
        <v>2942.94</v>
      </c>
      <c r="F295" s="7" t="s">
        <v>701</v>
      </c>
      <c r="G295" s="36" t="s">
        <v>419</v>
      </c>
      <c r="H295" s="37" t="str">
        <f>HYPERLINK("http://www.usrc.it/AppRendiConta/det_759_20171124.pdf","Determinazione USRC n.759 del 2017.pdf")</f>
        <v>Determinazione USRC n.759 del 2017.pdf</v>
      </c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>
      <c r="A296" s="7" t="s">
        <v>657</v>
      </c>
      <c r="B296" s="7" t="s">
        <v>702</v>
      </c>
      <c r="C296" s="8" t="s">
        <v>115</v>
      </c>
      <c r="D296" s="7" t="s">
        <v>14</v>
      </c>
      <c r="E296" s="10">
        <v>2685.0</v>
      </c>
      <c r="F296" s="7" t="s">
        <v>703</v>
      </c>
      <c r="G296" s="36" t="s">
        <v>16</v>
      </c>
      <c r="H296" s="37" t="str">
        <f>HYPERLINK("http://www.usrc.it/AppRendiConta/det_760_20171124.pdf","Determinazione USRC n.760 del 2017.pdf")</f>
        <v>Determinazione USRC n.760 del 2017.pdf</v>
      </c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>
      <c r="A297" s="7" t="s">
        <v>514</v>
      </c>
      <c r="B297" s="7" t="s">
        <v>515</v>
      </c>
      <c r="C297" s="8" t="s">
        <v>69</v>
      </c>
      <c r="D297" s="7" t="s">
        <v>14</v>
      </c>
      <c r="E297" s="10">
        <v>2244.42</v>
      </c>
      <c r="F297" s="7" t="s">
        <v>704</v>
      </c>
      <c r="G297" s="36" t="s">
        <v>16</v>
      </c>
      <c r="H297" s="37" t="str">
        <f>HYPERLINK("http://www.usrc.it/AppRendiConta/det_763_20171130.pdf","Determinazione USRC n.763 del 2017.pdf")</f>
        <v>Determinazione USRC n.763 del 2017.pdf</v>
      </c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>
      <c r="A298" s="7" t="s">
        <v>407</v>
      </c>
      <c r="B298" s="7" t="s">
        <v>405</v>
      </c>
      <c r="C298" s="8" t="s">
        <v>195</v>
      </c>
      <c r="D298" s="7" t="s">
        <v>14</v>
      </c>
      <c r="E298" s="10">
        <v>1976.4</v>
      </c>
      <c r="F298" s="7" t="s">
        <v>705</v>
      </c>
      <c r="G298" s="36" t="s">
        <v>16</v>
      </c>
      <c r="H298" s="37" t="str">
        <f>HYPERLINK("http://www.usrc.it/AppRendiConta/det_764_20171130.pdf","Determinazione USRC n.764 del 2017.pdf")</f>
        <v>Determinazione USRC n.764 del 2017.pdf</v>
      </c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>
      <c r="A299" s="7" t="s">
        <v>533</v>
      </c>
      <c r="B299" s="7" t="s">
        <v>366</v>
      </c>
      <c r="C299" s="8" t="s">
        <v>367</v>
      </c>
      <c r="D299" s="7" t="s">
        <v>14</v>
      </c>
      <c r="E299" s="10">
        <v>130.36</v>
      </c>
      <c r="F299" s="7" t="s">
        <v>706</v>
      </c>
      <c r="G299" s="36" t="s">
        <v>16</v>
      </c>
      <c r="H299" s="37" t="str">
        <f>HYPERLINK("http://www.usrc.it/AppRendiConta/det_765_20171130.pdf","Determinazione USRC n.765 del 2017.pdf")</f>
        <v>Determinazione USRC n.765 del 2017.pdf</v>
      </c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>
      <c r="A300" s="7" t="s">
        <v>382</v>
      </c>
      <c r="B300" s="7" t="s">
        <v>96</v>
      </c>
      <c r="C300" s="8" t="s">
        <v>97</v>
      </c>
      <c r="D300" s="7" t="s">
        <v>32</v>
      </c>
      <c r="E300" s="10">
        <v>584.82</v>
      </c>
      <c r="F300" s="7" t="s">
        <v>707</v>
      </c>
      <c r="G300" s="36" t="s">
        <v>16</v>
      </c>
      <c r="H300" s="37" t="str">
        <f>HYPERLINK("http://www.usrc.it/AppRendiConta/det_766_20171130.pdf","Determinazione USRC n.766 del 2017.pdf")</f>
        <v>Determinazione USRC n.766 del 2017.pdf</v>
      </c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>
      <c r="A301" s="7" t="s">
        <v>415</v>
      </c>
      <c r="B301" s="7" t="s">
        <v>530</v>
      </c>
      <c r="C301" s="8" t="s">
        <v>417</v>
      </c>
      <c r="D301" s="7" t="s">
        <v>14</v>
      </c>
      <c r="E301" s="10">
        <v>8071.6</v>
      </c>
      <c r="F301" s="7" t="s">
        <v>708</v>
      </c>
      <c r="G301" s="36" t="s">
        <v>419</v>
      </c>
      <c r="H301" s="37" t="str">
        <f>HYPERLINK("http://www.usrc.it/AppRendiConta/det_767_20171130.pdf","Determinazione USRC n.767 del 2017.pdf")</f>
        <v>Determinazione USRC n.767 del 2017.pdf</v>
      </c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>
      <c r="A302" s="7" t="s">
        <v>420</v>
      </c>
      <c r="B302" s="7" t="s">
        <v>530</v>
      </c>
      <c r="C302" s="8" t="s">
        <v>417</v>
      </c>
      <c r="D302" s="7" t="s">
        <v>14</v>
      </c>
      <c r="E302" s="10">
        <v>3470.12</v>
      </c>
      <c r="F302" s="7" t="s">
        <v>709</v>
      </c>
      <c r="G302" s="36" t="s">
        <v>419</v>
      </c>
      <c r="H302" s="37" t="str">
        <f>HYPERLINK("http://www.usrc.it/AppRendiConta/det_768_20171130.pdf","Determinazione USRC n.768 del 2017.pdf")</f>
        <v>Determinazione USRC n.768 del 2017.pdf</v>
      </c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>
      <c r="A303" s="7" t="s">
        <v>333</v>
      </c>
      <c r="B303" s="7" t="s">
        <v>334</v>
      </c>
      <c r="C303" s="20" t="s">
        <v>335</v>
      </c>
      <c r="D303" s="7" t="s">
        <v>32</v>
      </c>
      <c r="E303" s="46">
        <v>5472.0</v>
      </c>
      <c r="F303" s="7" t="s">
        <v>710</v>
      </c>
      <c r="G303" s="36" t="s">
        <v>419</v>
      </c>
      <c r="H303" s="37" t="str">
        <f>HYPERLINK("http://www.usrc.it/AppRendiConta/det_771_20171204.pdf","Determinazione USRC n.771 del 2017.pdf")</f>
        <v>Determinazione USRC n.771 del 2017.pdf</v>
      </c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>
      <c r="A304" s="7" t="s">
        <v>696</v>
      </c>
      <c r="B304" s="7" t="s">
        <v>697</v>
      </c>
      <c r="C304" s="20" t="s">
        <v>698</v>
      </c>
      <c r="D304" s="7" t="s">
        <v>14</v>
      </c>
      <c r="E304" s="46">
        <v>1056.08</v>
      </c>
      <c r="F304" s="7" t="s">
        <v>711</v>
      </c>
      <c r="G304" s="36" t="s">
        <v>419</v>
      </c>
      <c r="H304" s="37" t="str">
        <f>HYPERLINK("http://www.usrc.it/AppRendiConta/det_772_20171204.pdf","Determinazione USRC n.772 del 2017.pdf")</f>
        <v>Determinazione USRC n.772 del 2017.pdf</v>
      </c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>
      <c r="A305" s="47" t="s">
        <v>638</v>
      </c>
      <c r="B305" s="48" t="s">
        <v>107</v>
      </c>
      <c r="C305" s="50" t="s">
        <v>108</v>
      </c>
      <c r="D305" s="48" t="s">
        <v>14</v>
      </c>
      <c r="E305" s="10">
        <v>6647.0</v>
      </c>
      <c r="F305" s="7" t="s">
        <v>712</v>
      </c>
      <c r="G305" s="7" t="s">
        <v>16</v>
      </c>
      <c r="H305" s="21" t="str">
        <f>HYPERLINK("http://www.usrc.it/AppRendiConta/det_811_20171204.pdf","Determinazione USRC n.811 del 2017.pdf")</f>
        <v>Determinazione USRC n.811 del 2017.pdf</v>
      </c>
      <c r="I305" s="47"/>
      <c r="J305" s="48"/>
      <c r="K305" s="51"/>
      <c r="L305" s="52"/>
      <c r="M305" s="53"/>
      <c r="N305" s="18"/>
      <c r="O305" s="18"/>
      <c r="P305" s="45"/>
      <c r="Q305" s="52"/>
      <c r="R305" s="53"/>
      <c r="S305" s="18"/>
      <c r="T305" s="18"/>
      <c r="U305" s="45"/>
      <c r="V305" s="13"/>
    </row>
    <row r="306">
      <c r="A306" s="7" t="s">
        <v>382</v>
      </c>
      <c r="B306" s="7" t="s">
        <v>96</v>
      </c>
      <c r="C306" s="20" t="s">
        <v>97</v>
      </c>
      <c r="D306" s="7" t="s">
        <v>32</v>
      </c>
      <c r="E306" s="46">
        <v>895.71</v>
      </c>
      <c r="F306" s="7" t="s">
        <v>713</v>
      </c>
      <c r="G306" s="7" t="s">
        <v>16</v>
      </c>
      <c r="H306" s="21" t="str">
        <f>HYPERLINK("http://www.usrc.it/AppRendiConta/det_839_20171219.pdf","Determinazione USRC n.839 del 2017.pdf")</f>
        <v>Determinazione USRC n.839 del 2017.pdf</v>
      </c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>
      <c r="A307" s="7" t="s">
        <v>714</v>
      </c>
      <c r="B307" s="7" t="s">
        <v>715</v>
      </c>
      <c r="C307" s="20" t="s">
        <v>716</v>
      </c>
      <c r="D307" s="7" t="s">
        <v>14</v>
      </c>
      <c r="E307" s="46">
        <v>760.0</v>
      </c>
      <c r="F307" s="7" t="s">
        <v>717</v>
      </c>
      <c r="G307" s="7" t="s">
        <v>16</v>
      </c>
      <c r="H307" s="21" t="str">
        <f>HYPERLINK("http://www.usrc.it/AppRendiConta/det_840_20171219.pdf","Determinazione USRC n.840 del 2017.pdf")</f>
        <v>Determinazione USRC n.840 del 2017.pdf</v>
      </c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>
      <c r="A308" s="7" t="s">
        <v>616</v>
      </c>
      <c r="B308" s="7" t="s">
        <v>617</v>
      </c>
      <c r="C308" s="20" t="s">
        <v>618</v>
      </c>
      <c r="D308" s="7" t="s">
        <v>14</v>
      </c>
      <c r="E308" s="46">
        <v>764.94</v>
      </c>
      <c r="F308" s="7" t="s">
        <v>718</v>
      </c>
      <c r="G308" s="7" t="s">
        <v>16</v>
      </c>
      <c r="H308" s="21" t="str">
        <f>HYPERLINK("http://www.usrc.it/AppRendiConta/det_841_20171219.pdf41","Determinazione USRC n.841 del 2017.pdf")</f>
        <v>Determinazione USRC n.841 del 2017.pdf</v>
      </c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>
      <c r="A309" s="7" t="s">
        <v>680</v>
      </c>
      <c r="B309" s="7" t="s">
        <v>346</v>
      </c>
      <c r="C309" s="20" t="s">
        <v>347</v>
      </c>
      <c r="D309" s="7" t="s">
        <v>14</v>
      </c>
      <c r="E309" s="46">
        <v>142.8</v>
      </c>
      <c r="F309" s="7" t="s">
        <v>719</v>
      </c>
      <c r="G309" s="7" t="s">
        <v>16</v>
      </c>
      <c r="H309" s="21" t="str">
        <f>HYPERLINK("http://www.usrc.it/AppRendiConta/det_842_20171219.pdf","Determinazione USRC n.842 del 2017.pdf")</f>
        <v>Determinazione USRC n.842 del 2017.pdf</v>
      </c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>
      <c r="A310" s="7" t="s">
        <v>517</v>
      </c>
      <c r="B310" s="7" t="s">
        <v>518</v>
      </c>
      <c r="C310" s="20" t="s">
        <v>69</v>
      </c>
      <c r="D310" s="7" t="s">
        <v>14</v>
      </c>
      <c r="E310" s="46">
        <v>961.45</v>
      </c>
      <c r="F310" s="7" t="s">
        <v>720</v>
      </c>
      <c r="G310" s="7" t="s">
        <v>16</v>
      </c>
      <c r="H310" s="21" t="str">
        <f>HYPERLINK("http://www.usrc.it/AppRendiConta/det_843_20171219.pdf","Determinazione USRC n.843 del 2017.pdf")</f>
        <v>Determinazione USRC n.843 del 2017.pdf</v>
      </c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>
      <c r="A311" s="7" t="s">
        <v>514</v>
      </c>
      <c r="B311" s="7" t="s">
        <v>515</v>
      </c>
      <c r="C311" s="20" t="s">
        <v>69</v>
      </c>
      <c r="D311" s="7" t="s">
        <v>14</v>
      </c>
      <c r="E311" s="46">
        <v>1188.64</v>
      </c>
      <c r="F311" s="7" t="s">
        <v>721</v>
      </c>
      <c r="G311" s="7" t="s">
        <v>16</v>
      </c>
      <c r="H311" s="21" t="str">
        <f>HYPERLINK("http://www.usrc.it/AppRendiConta/det_844_20171219.pdf","Determinazione USRC n.844 del 2017.pdf")</f>
        <v>Determinazione USRC n.844 del 2017.pdf</v>
      </c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>
      <c r="A312" s="7" t="s">
        <v>657</v>
      </c>
      <c r="B312" s="7" t="s">
        <v>702</v>
      </c>
      <c r="C312" s="20" t="s">
        <v>115</v>
      </c>
      <c r="D312" s="7" t="s">
        <v>14</v>
      </c>
      <c r="E312" s="46">
        <v>250.0</v>
      </c>
      <c r="F312" s="7" t="s">
        <v>722</v>
      </c>
      <c r="G312" s="7" t="s">
        <v>16</v>
      </c>
      <c r="H312" s="21" t="str">
        <f>HYPERLINK("http://www.usrc.it/AppRendiConta/det_846_20171219.pdf","Determinazione USRC n.846 del 2017.pdf")</f>
        <v>Determinazione USRC n.846 del 2017.pdf</v>
      </c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>
      <c r="A313" s="7" t="s">
        <v>723</v>
      </c>
      <c r="B313" s="7" t="s">
        <v>724</v>
      </c>
      <c r="C313" s="20" t="s">
        <v>64</v>
      </c>
      <c r="D313" s="7" t="s">
        <v>14</v>
      </c>
      <c r="E313" s="46">
        <v>39200.0</v>
      </c>
      <c r="F313" s="7" t="s">
        <v>725</v>
      </c>
      <c r="G313" s="7" t="s">
        <v>16</v>
      </c>
      <c r="H313" s="21" t="str">
        <f>HYPERLINK("http://www.usrc.it/AppRendiConta/det_847_20171219.pdf","Determinazione USRC n.847 del 2017.pdf")</f>
        <v>Determinazione USRC n.847 del 2017.pdf</v>
      </c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>
      <c r="A314" s="7" t="s">
        <v>467</v>
      </c>
      <c r="B314" s="7" t="s">
        <v>402</v>
      </c>
      <c r="C314" s="20" t="s">
        <v>81</v>
      </c>
      <c r="D314" s="7" t="s">
        <v>32</v>
      </c>
      <c r="E314" s="46">
        <v>340.49</v>
      </c>
      <c r="F314" s="7" t="s">
        <v>726</v>
      </c>
      <c r="G314" s="7" t="s">
        <v>16</v>
      </c>
      <c r="H314" s="21" t="str">
        <f>HYPERLINK("http://www.usrc.it/AppRendiConta/det_848_20171219.pdf","Determinazione USRC n.848 del 2017.pdf")</f>
        <v>Determinazione USRC n.848 del 2017.pdf</v>
      </c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>
      <c r="A315" s="7" t="s">
        <v>727</v>
      </c>
      <c r="B315" s="7" t="s">
        <v>728</v>
      </c>
      <c r="C315" s="20" t="s">
        <v>729</v>
      </c>
      <c r="D315" s="7" t="s">
        <v>32</v>
      </c>
      <c r="E315" s="46">
        <v>212.15</v>
      </c>
      <c r="F315" s="7" t="s">
        <v>730</v>
      </c>
      <c r="G315" s="7" t="s">
        <v>16</v>
      </c>
      <c r="H315" s="21" t="str">
        <f>HYPERLINK("http://www.usrc.it/AppRendiConta/det_19_20180116.pdf","Determinazione USRC n.19 del 2018.pdf")</f>
        <v>Determinazione USRC n.19 del 2018.pdf</v>
      </c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>
      <c r="A316" s="7" t="s">
        <v>727</v>
      </c>
      <c r="B316" s="7" t="s">
        <v>728</v>
      </c>
      <c r="C316" s="20" t="s">
        <v>729</v>
      </c>
      <c r="D316" s="7" t="s">
        <v>32</v>
      </c>
      <c r="E316" s="46">
        <v>521.38</v>
      </c>
      <c r="F316" s="7" t="s">
        <v>731</v>
      </c>
      <c r="G316" s="7" t="s">
        <v>16</v>
      </c>
      <c r="H316" s="21" t="str">
        <f>HYPERLINK("http://www.usrc.it/AppRendiConta/det_20_20180116.pdf","Determinazione USRC n.20 del 2018.pdf")</f>
        <v>Determinazione USRC n.20 del 2018.pdf</v>
      </c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>
      <c r="A317" s="7" t="s">
        <v>688</v>
      </c>
      <c r="B317" s="7" t="s">
        <v>500</v>
      </c>
      <c r="C317" s="20" t="s">
        <v>501</v>
      </c>
      <c r="D317" s="7" t="s">
        <v>14</v>
      </c>
      <c r="E317" s="46">
        <v>1900.0</v>
      </c>
      <c r="F317" s="7" t="s">
        <v>732</v>
      </c>
      <c r="G317" s="7" t="s">
        <v>16</v>
      </c>
      <c r="H317" s="21" t="str">
        <f>HYPERLINK("http://www.usrc.it/AppRendiConta/det_21_20180116.pdf","Determinazione USRC n.21 del 2018.pdf")</f>
        <v>Determinazione USRC n.21 del 2018.pdf</v>
      </c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>
      <c r="A318" s="7" t="s">
        <v>733</v>
      </c>
      <c r="B318" s="7" t="s">
        <v>388</v>
      </c>
      <c r="C318" s="20" t="s">
        <v>277</v>
      </c>
      <c r="D318" s="7" t="s">
        <v>32</v>
      </c>
      <c r="E318" s="46">
        <v>117.0</v>
      </c>
      <c r="F318" s="7" t="s">
        <v>734</v>
      </c>
      <c r="G318" s="7" t="s">
        <v>16</v>
      </c>
      <c r="H318" s="21" t="str">
        <f>HYPERLINK("http://www.usrc.it/AppRendiConta/det_22_20180116.pdf","Determinazione USRC n.22 del 2018.pdf")</f>
        <v>Determinazione USRC n.22 del 2018.pdf</v>
      </c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>
      <c r="A319" s="7" t="s">
        <v>735</v>
      </c>
      <c r="B319" s="7" t="s">
        <v>661</v>
      </c>
      <c r="C319" s="20" t="s">
        <v>662</v>
      </c>
      <c r="D319" s="7" t="s">
        <v>14</v>
      </c>
      <c r="E319" s="46">
        <v>91.8</v>
      </c>
      <c r="F319" s="7" t="s">
        <v>736</v>
      </c>
      <c r="G319" s="7" t="s">
        <v>16</v>
      </c>
      <c r="H319" s="21" t="str">
        <f>HYPERLINK("http://www.usrc.it/AppRendiConta/det_23_20180116.pdf","Determinazione USRC n.23 del 2018.pdf")</f>
        <v>Determinazione USRC n.23 del 2018.pdf</v>
      </c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>
      <c r="A320" s="7" t="s">
        <v>533</v>
      </c>
      <c r="B320" s="7" t="s">
        <v>366</v>
      </c>
      <c r="C320" s="20" t="s">
        <v>367</v>
      </c>
      <c r="D320" s="7" t="s">
        <v>14</v>
      </c>
      <c r="E320" s="46">
        <v>137.43</v>
      </c>
      <c r="F320" s="7" t="s">
        <v>737</v>
      </c>
      <c r="G320" s="7" t="s">
        <v>16</v>
      </c>
      <c r="H320" s="21" t="str">
        <f>HYPERLINK("http://www.usrc.it/AppRendiConta/det_27_20180119.pdf","Determinazione USRC n.27 del 2018.pdf")</f>
        <v>Determinazione USRC n.27 del 2018.pdf</v>
      </c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>
      <c r="A321" s="7" t="s">
        <v>616</v>
      </c>
      <c r="B321" s="7" t="s">
        <v>617</v>
      </c>
      <c r="C321" s="20" t="s">
        <v>618</v>
      </c>
      <c r="D321" s="7" t="s">
        <v>14</v>
      </c>
      <c r="E321" s="46">
        <v>764.94</v>
      </c>
      <c r="F321" s="7" t="s">
        <v>738</v>
      </c>
      <c r="G321" s="7" t="s">
        <v>16</v>
      </c>
      <c r="H321" s="21" t="str">
        <f>HYPERLINK("http://www.usrc.it/AppRendiConta/det_28_20180119.pdf","Determinazione USRC n.28 del 2018.pdf")</f>
        <v>Determinazione USRC n.28 del 2018.pdf</v>
      </c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>
      <c r="A322" s="7" t="s">
        <v>382</v>
      </c>
      <c r="B322" s="7" t="s">
        <v>96</v>
      </c>
      <c r="C322" s="20" t="s">
        <v>97</v>
      </c>
      <c r="D322" s="7" t="s">
        <v>32</v>
      </c>
      <c r="E322" s="46">
        <v>711.7</v>
      </c>
      <c r="F322" s="7" t="s">
        <v>739</v>
      </c>
      <c r="G322" s="7" t="s">
        <v>16</v>
      </c>
      <c r="H322" s="21" t="str">
        <f>HYPERLINK("http://www.usrc.it/AppRendiConta/det_29_20180119.pdf","Determinazione USRC n.29 del 2018.pdf")</f>
        <v>Determinazione USRC n.29 del 2018.pdf</v>
      </c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>
      <c r="A323" s="7" t="s">
        <v>680</v>
      </c>
      <c r="B323" s="7" t="s">
        <v>346</v>
      </c>
      <c r="C323" s="20" t="s">
        <v>347</v>
      </c>
      <c r="D323" s="7" t="s">
        <v>14</v>
      </c>
      <c r="E323" s="46">
        <v>49.2</v>
      </c>
      <c r="F323" s="7" t="s">
        <v>740</v>
      </c>
      <c r="G323" s="7" t="s">
        <v>16</v>
      </c>
      <c r="H323" s="21" t="str">
        <f>HYPERLINK("http://www.usrc.it/AppRendiConta/det_30_20180119.pdf","Determinazione USRC n.30 del 2018.pdf")</f>
        <v>Determinazione USRC n.30 del 2018.pdf</v>
      </c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>
      <c r="A324" s="7" t="s">
        <v>382</v>
      </c>
      <c r="B324" s="7" t="s">
        <v>96</v>
      </c>
      <c r="C324" s="20" t="s">
        <v>97</v>
      </c>
      <c r="D324" s="7" t="s">
        <v>32</v>
      </c>
      <c r="E324" s="46">
        <v>423.41</v>
      </c>
      <c r="F324" s="7" t="s">
        <v>741</v>
      </c>
      <c r="G324" s="7" t="s">
        <v>16</v>
      </c>
      <c r="H324" s="21" t="str">
        <f>HYPERLINK("http://www.usrc.it/AppRendiConta/det_76_20180208.pdf","Determinazione USRC n.76 del 2018.pdf")</f>
        <v>Determinazione USRC n.76 del 2018.pdf</v>
      </c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>
      <c r="A325" s="7" t="s">
        <v>467</v>
      </c>
      <c r="B325" s="7" t="s">
        <v>402</v>
      </c>
      <c r="C325" s="20" t="s">
        <v>81</v>
      </c>
      <c r="D325" s="7" t="s">
        <v>32</v>
      </c>
      <c r="E325" s="46">
        <v>214.65</v>
      </c>
      <c r="F325" s="7" t="s">
        <v>742</v>
      </c>
      <c r="G325" s="7" t="s">
        <v>16</v>
      </c>
      <c r="H325" s="21" t="str">
        <f>HYPERLINK("http://www.usrc.it/AppRendiConta/det_109_20180219.pdf","Determinazione USRC n.109 del 2018.pdf")</f>
        <v>Determinazione USRC n.109 del 2018.pdf</v>
      </c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>
      <c r="A326" s="7" t="s">
        <v>382</v>
      </c>
      <c r="B326" s="7" t="s">
        <v>96</v>
      </c>
      <c r="C326" s="20" t="s">
        <v>97</v>
      </c>
      <c r="D326" s="7" t="s">
        <v>32</v>
      </c>
      <c r="E326" s="46">
        <v>647.45</v>
      </c>
      <c r="F326" s="7" t="s">
        <v>743</v>
      </c>
      <c r="G326" s="7" t="s">
        <v>16</v>
      </c>
      <c r="H326" s="21" t="str">
        <f>HYPERLINK("http://www.usrc.it/AppRendiConta/det_121_20180221.pdf","Determinazione USRC n.121 del 2018.pdf")</f>
        <v>Determinazione USRC n.121 del 2018.pdf</v>
      </c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>
      <c r="A327" s="7" t="s">
        <v>616</v>
      </c>
      <c r="B327" s="7" t="s">
        <v>617</v>
      </c>
      <c r="C327" s="20" t="s">
        <v>618</v>
      </c>
      <c r="D327" s="7" t="s">
        <v>14</v>
      </c>
      <c r="E327" s="46">
        <v>764.94</v>
      </c>
      <c r="F327" s="7" t="s">
        <v>744</v>
      </c>
      <c r="G327" s="7" t="s">
        <v>16</v>
      </c>
      <c r="H327" s="21" t="str">
        <f>HYPERLINK("http://www.usrc.it/AppRendiConta/det_122_20180221.pdf","Determinazione USRC n.122 del 2018.pdf")</f>
        <v>Determinazione USRC n.122 del 2018.pdf</v>
      </c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>
      <c r="A328" s="7" t="s">
        <v>58</v>
      </c>
      <c r="B328" s="7" t="s">
        <v>311</v>
      </c>
      <c r="C328" s="20" t="s">
        <v>745</v>
      </c>
      <c r="D328" s="7" t="s">
        <v>32</v>
      </c>
      <c r="E328" s="46">
        <v>30.0</v>
      </c>
      <c r="F328" s="7" t="s">
        <v>746</v>
      </c>
      <c r="G328" s="7" t="s">
        <v>16</v>
      </c>
      <c r="H328" s="21" t="str">
        <f>HYPERLINK("http://www.usrc.it/AppRendiConta/det_123_20180221.pdf","Determinazione USRC n.123 del 2018.pdf")</f>
        <v>Determinazione USRC n.123 del 2018.pdf</v>
      </c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>
      <c r="A329" s="7" t="s">
        <v>382</v>
      </c>
      <c r="B329" s="7" t="s">
        <v>96</v>
      </c>
      <c r="C329" s="20" t="s">
        <v>97</v>
      </c>
      <c r="D329" s="7" t="s">
        <v>32</v>
      </c>
      <c r="E329" s="46">
        <v>379.91</v>
      </c>
      <c r="F329" s="7" t="s">
        <v>747</v>
      </c>
      <c r="G329" s="7" t="s">
        <v>16</v>
      </c>
      <c r="H329" s="21" t="str">
        <f>HYPERLINK("http://www.usrc.it/AppRendiConta/det_147_20180305.pdf","Determinazione USRC n.147 del 2018.pdf")</f>
        <v>Determinazione USRC n.147 del 2018.pdf</v>
      </c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>
      <c r="A330" s="7" t="s">
        <v>514</v>
      </c>
      <c r="B330" s="7" t="s">
        <v>518</v>
      </c>
      <c r="C330" s="20" t="s">
        <v>69</v>
      </c>
      <c r="D330" s="7" t="s">
        <v>14</v>
      </c>
      <c r="E330" s="46">
        <v>983.35</v>
      </c>
      <c r="F330" s="7" t="s">
        <v>748</v>
      </c>
      <c r="G330" s="7" t="s">
        <v>16</v>
      </c>
      <c r="H330" s="21" t="str">
        <f>HYPERLINK("http://www.usrc.it/AppRendiConta/det_148_20180305.pdf","Determinazione USRC n.148 del 2018.pdf")</f>
        <v>Determinazione USRC n.148 del 2018.pdf</v>
      </c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>
      <c r="A331" s="7" t="s">
        <v>517</v>
      </c>
      <c r="B331" s="7" t="s">
        <v>515</v>
      </c>
      <c r="C331" s="20" t="s">
        <v>69</v>
      </c>
      <c r="D331" s="7" t="s">
        <v>14</v>
      </c>
      <c r="E331" s="46">
        <v>1197.11</v>
      </c>
      <c r="F331" s="7" t="s">
        <v>749</v>
      </c>
      <c r="G331" s="7" t="s">
        <v>16</v>
      </c>
      <c r="H331" s="21" t="str">
        <f>HYPERLINK("http://www.usrc.it/AppRendiConta/det_149_20180305.pdf","Determinazione USRC n.149 del 2018.pdf")</f>
        <v>Determinazione USRC n.149 del 2018.pdf</v>
      </c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>
      <c r="A332" s="7" t="s">
        <v>407</v>
      </c>
      <c r="B332" s="7" t="s">
        <v>750</v>
      </c>
      <c r="C332" s="20" t="s">
        <v>195</v>
      </c>
      <c r="D332" s="7" t="s">
        <v>14</v>
      </c>
      <c r="E332" s="46">
        <v>500.0</v>
      </c>
      <c r="F332" s="7" t="s">
        <v>751</v>
      </c>
      <c r="G332" s="7" t="s">
        <v>16</v>
      </c>
      <c r="H332" s="21" t="str">
        <f>HYPERLINK("http://www.usrc.it/AppRendiConta/det_150_20180305.pdf","Determinazione USRC n.150 del 2018.pdf")</f>
        <v>Determinazione USRC n.150 del 2018.pdf</v>
      </c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>
      <c r="A333" s="7" t="s">
        <v>407</v>
      </c>
      <c r="B333" s="7" t="s">
        <v>750</v>
      </c>
      <c r="C333" s="20" t="s">
        <v>195</v>
      </c>
      <c r="D333" s="7" t="s">
        <v>14</v>
      </c>
      <c r="E333" s="46">
        <v>1080.0</v>
      </c>
      <c r="F333" s="7" t="s">
        <v>752</v>
      </c>
      <c r="G333" s="7" t="s">
        <v>16</v>
      </c>
      <c r="H333" s="21" t="str">
        <f>HYPERLINK("http://www.usrc.it/AppRendiConta/det_151_20180305.pdf","Determinazione USRC n.151 del 2018.pdf")</f>
        <v>Determinazione USRC n.151 del 2018.pdf</v>
      </c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>
      <c r="A334" s="7" t="s">
        <v>333</v>
      </c>
      <c r="B334" s="7" t="s">
        <v>334</v>
      </c>
      <c r="C334" s="20" t="s">
        <v>335</v>
      </c>
      <c r="D334" s="7" t="s">
        <v>32</v>
      </c>
      <c r="E334" s="46">
        <v>2736.0</v>
      </c>
      <c r="F334" s="7" t="s">
        <v>753</v>
      </c>
      <c r="G334" s="7" t="s">
        <v>423</v>
      </c>
      <c r="H334" s="21" t="str">
        <f>HYPERLINK("http://www.usrc.it/AppRendiConta/det_156_20180305.pdf","Determinazione USRC n.156 del 2018.pdf")</f>
        <v>Determinazione USRC n.156 del 2018.pdf</v>
      </c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>
      <c r="A335" s="7" t="s">
        <v>700</v>
      </c>
      <c r="B335" s="7" t="s">
        <v>512</v>
      </c>
      <c r="C335" s="20" t="s">
        <v>45</v>
      </c>
      <c r="D335" s="7" t="s">
        <v>14</v>
      </c>
      <c r="E335" s="46">
        <v>2684.16</v>
      </c>
      <c r="F335" s="7" t="s">
        <v>754</v>
      </c>
      <c r="G335" s="7" t="s">
        <v>419</v>
      </c>
      <c r="H335" s="21" t="str">
        <f>HYPERLINK("http://www.usrc.it/AppRendiConta/det_167_20180314.pdf","Determinazione USRC n.167 del 2018.pdf")</f>
        <v>Determinazione USRC n.167 del 2018.pdf</v>
      </c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>
      <c r="A336" s="7" t="s">
        <v>755</v>
      </c>
      <c r="B336" s="7" t="s">
        <v>756</v>
      </c>
      <c r="C336" s="20" t="s">
        <v>757</v>
      </c>
      <c r="D336" s="7" t="s">
        <v>32</v>
      </c>
      <c r="E336" s="46">
        <v>67.9</v>
      </c>
      <c r="F336" s="7" t="s">
        <v>758</v>
      </c>
      <c r="G336" s="7" t="s">
        <v>16</v>
      </c>
      <c r="H336" s="21" t="str">
        <f>HYPERLINK("http://www.usrc.it/AppRendiConta/det_168_20180314.pdf","Determinazione USRC n.168 del 2018.pdf")</f>
        <v>Determinazione USRC n.168 del 2018.pdf</v>
      </c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>
      <c r="A337" s="7" t="s">
        <v>382</v>
      </c>
      <c r="B337" s="7" t="s">
        <v>96</v>
      </c>
      <c r="C337" s="20" t="s">
        <v>97</v>
      </c>
      <c r="D337" s="7" t="s">
        <v>32</v>
      </c>
      <c r="E337" s="46">
        <v>956.03</v>
      </c>
      <c r="F337" s="7" t="s">
        <v>759</v>
      </c>
      <c r="G337" s="7" t="s">
        <v>16</v>
      </c>
      <c r="H337" s="21" t="str">
        <f>HYPERLINK("http://www.usrc.it/AppRendiConta/det_186_20180320.pdf","Determinazione USRC n.186 del 2018.pdf")</f>
        <v>Determinazione USRC n.186 del 2018.pdf</v>
      </c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>
      <c r="A338" s="7" t="s">
        <v>533</v>
      </c>
      <c r="B338" s="7" t="s">
        <v>366</v>
      </c>
      <c r="C338" s="20" t="s">
        <v>367</v>
      </c>
      <c r="D338" s="7" t="s">
        <v>14</v>
      </c>
      <c r="E338" s="46">
        <v>30.48</v>
      </c>
      <c r="F338" s="7" t="s">
        <v>760</v>
      </c>
      <c r="G338" s="7" t="s">
        <v>16</v>
      </c>
      <c r="H338" s="21" t="str">
        <f>HYPERLINK("http://www.usrc.it/AppRendiConta/det_187_20180320.pdf","Determinazione USRC n.187 del 2018.pdf")</f>
        <v>Determinazione USRC n.187 del 2018.pdf</v>
      </c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>
      <c r="A339" s="7" t="s">
        <v>415</v>
      </c>
      <c r="B339" s="7" t="s">
        <v>530</v>
      </c>
      <c r="C339" s="20" t="s">
        <v>417</v>
      </c>
      <c r="D339" s="7" t="s">
        <v>14</v>
      </c>
      <c r="E339" s="46">
        <v>3308.03</v>
      </c>
      <c r="F339" s="7" t="s">
        <v>761</v>
      </c>
      <c r="G339" s="7" t="s">
        <v>419</v>
      </c>
      <c r="H339" s="21" t="str">
        <f>HYPERLINK("http://www.usrc.it/AppRendiConta/det_204_20180328.pdf","Determinazione USRC n.204 del 2018.pdf")</f>
        <v>Determinazione USRC n.204 del 2018.pdf</v>
      </c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>
      <c r="A340" s="7" t="s">
        <v>420</v>
      </c>
      <c r="B340" s="7" t="s">
        <v>530</v>
      </c>
      <c r="C340" s="20" t="s">
        <v>417</v>
      </c>
      <c r="D340" s="7" t="s">
        <v>14</v>
      </c>
      <c r="E340" s="46">
        <v>1422.18</v>
      </c>
      <c r="F340" s="7" t="s">
        <v>762</v>
      </c>
      <c r="G340" s="7" t="s">
        <v>419</v>
      </c>
      <c r="H340" s="21" t="str">
        <f>HYPERLINK("http://www.usrc.it/AppRendiConta/det_205_20180328.pdf","Determinazione USRC n.205 del 2018.pdf")</f>
        <v>Determinazione USRC n.205 del 2018.pdf</v>
      </c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>
      <c r="A341" s="7" t="s">
        <v>616</v>
      </c>
      <c r="B341" s="7" t="s">
        <v>617</v>
      </c>
      <c r="C341" s="20" t="s">
        <v>618</v>
      </c>
      <c r="D341" s="7" t="s">
        <v>14</v>
      </c>
      <c r="E341" s="46">
        <v>764.94</v>
      </c>
      <c r="F341" s="7" t="s">
        <v>763</v>
      </c>
      <c r="G341" s="7" t="s">
        <v>16</v>
      </c>
      <c r="H341" s="21" t="str">
        <f>HYPERLINK("http://www.usrc.it/AppRendiConta/det_206_20180328.pdf","Determinazione USRC n.206 del 2018.pdf")</f>
        <v>Determinazione USRC n.206 del 2018.pdf</v>
      </c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>
      <c r="A342" s="7" t="s">
        <v>333</v>
      </c>
      <c r="B342" s="7" t="s">
        <v>334</v>
      </c>
      <c r="C342" s="20" t="s">
        <v>335</v>
      </c>
      <c r="D342" s="7" t="s">
        <v>32</v>
      </c>
      <c r="E342" s="46">
        <v>2736.0</v>
      </c>
      <c r="F342" s="7" t="s">
        <v>764</v>
      </c>
      <c r="G342" s="7" t="s">
        <v>423</v>
      </c>
      <c r="H342" s="21" t="str">
        <f>HYPERLINK("http://www.usrc.it/AppRendiConta/det_211_20180404.pdf","Determinazione USRC n.211 del 2018.pdf")</f>
        <v>Determinazione USRC n.211 del 2018.pdf</v>
      </c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>
      <c r="A343" s="7" t="s">
        <v>467</v>
      </c>
      <c r="B343" s="7" t="s">
        <v>402</v>
      </c>
      <c r="C343" s="20" t="s">
        <v>81</v>
      </c>
      <c r="D343" s="7" t="s">
        <v>32</v>
      </c>
      <c r="E343" s="46">
        <v>181.94</v>
      </c>
      <c r="F343" s="7" t="s">
        <v>765</v>
      </c>
      <c r="G343" s="7" t="s">
        <v>16</v>
      </c>
      <c r="H343" s="21" t="str">
        <f>HYPERLINK("http://www.usrc.it/AppRendiConta/det_212_20180405.pdf","Determinazione USRC n.212 del 2018.pdf")</f>
        <v>Determinazione USRC n.212 del 2018.pdf</v>
      </c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>
      <c r="A344" s="7" t="s">
        <v>766</v>
      </c>
      <c r="B344" s="7" t="s">
        <v>728</v>
      </c>
      <c r="C344" s="20" t="s">
        <v>729</v>
      </c>
      <c r="D344" s="7" t="s">
        <v>32</v>
      </c>
      <c r="E344" s="46">
        <v>534.04</v>
      </c>
      <c r="F344" s="7" t="s">
        <v>767</v>
      </c>
      <c r="G344" s="7" t="s">
        <v>16</v>
      </c>
      <c r="H344" s="21" t="str">
        <f>HYPERLINK("http://www.usrc.it/AppRendiConta/det_232_20180413.pdf","Determinazione USRC n.232 del 2018.pdf")</f>
        <v>Determinazione USRC n.232 del 2018.pdf</v>
      </c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>
      <c r="A345" s="7" t="s">
        <v>692</v>
      </c>
      <c r="B345" s="7" t="s">
        <v>693</v>
      </c>
      <c r="C345" s="20" t="s">
        <v>694</v>
      </c>
      <c r="D345" s="7" t="s">
        <v>14</v>
      </c>
      <c r="E345" s="46">
        <v>1050.0</v>
      </c>
      <c r="F345" s="7" t="s">
        <v>768</v>
      </c>
      <c r="G345" s="7" t="s">
        <v>16</v>
      </c>
      <c r="H345" s="21" t="str">
        <f>HYPERLINK("http://www.usrc.it/AppRendiConta/det_233_20180413.pdf","Determinazione USRC n.233 del 2018.pdf")</f>
        <v>Determinazione USRC n.233 del 2018.pdf</v>
      </c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>
      <c r="A346" s="7" t="s">
        <v>616</v>
      </c>
      <c r="B346" s="7" t="s">
        <v>602</v>
      </c>
      <c r="C346" s="20" t="s">
        <v>603</v>
      </c>
      <c r="D346" s="7" t="s">
        <v>14</v>
      </c>
      <c r="E346" s="46">
        <v>45.16</v>
      </c>
      <c r="F346" s="7" t="s">
        <v>769</v>
      </c>
      <c r="G346" s="7" t="s">
        <v>16</v>
      </c>
      <c r="H346" s="21" t="str">
        <f>HYPERLINK("http://www.usrc.it/AppRendiConta/det_234_20180413.pdf","Determinazione USRC n.234 del 2018.pdf")</f>
        <v>Determinazione USRC n.234 del 2018.pdf</v>
      </c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>
      <c r="A347" s="7" t="s">
        <v>382</v>
      </c>
      <c r="B347" s="7" t="s">
        <v>96</v>
      </c>
      <c r="C347" s="20" t="s">
        <v>97</v>
      </c>
      <c r="D347" s="7" t="s">
        <v>32</v>
      </c>
      <c r="E347" s="46">
        <v>975.95</v>
      </c>
      <c r="F347" s="7" t="s">
        <v>770</v>
      </c>
      <c r="G347" s="7" t="s">
        <v>16</v>
      </c>
      <c r="H347" s="21" t="str">
        <f>HYPERLINK("http://www.usrc.it/AppRendiConta/det_256_20180430.pdf","Determinazione USRC n.256 del 2018.pdf")</f>
        <v>Determinazione USRC n.256 del 2018.pdf</v>
      </c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>
      <c r="A348" s="7" t="s">
        <v>514</v>
      </c>
      <c r="B348" s="7" t="s">
        <v>518</v>
      </c>
      <c r="C348" s="20" t="s">
        <v>69</v>
      </c>
      <c r="D348" s="7" t="s">
        <v>14</v>
      </c>
      <c r="E348" s="46">
        <v>954.29</v>
      </c>
      <c r="F348" s="7" t="s">
        <v>771</v>
      </c>
      <c r="G348" s="7" t="s">
        <v>419</v>
      </c>
      <c r="H348" s="21" t="str">
        <f>HYPERLINK("http://www.usrc.it/AppRendiConta/det_257_20180430.pdf","Determinazione USRC n.257 del 2018.pdf")</f>
        <v>Determinazione USRC n.257 del 2018.pdf</v>
      </c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>
      <c r="A349" s="7" t="s">
        <v>517</v>
      </c>
      <c r="B349" s="7" t="s">
        <v>515</v>
      </c>
      <c r="C349" s="20" t="s">
        <v>69</v>
      </c>
      <c r="D349" s="7" t="s">
        <v>14</v>
      </c>
      <c r="E349" s="46">
        <v>1158.85</v>
      </c>
      <c r="F349" s="7" t="s">
        <v>772</v>
      </c>
      <c r="G349" s="7" t="s">
        <v>419</v>
      </c>
      <c r="H349" s="21" t="str">
        <f>HYPERLINK("http://www.usrc.it/AppRendiConta/det_258_20180430.pdf","Determinazione USRC n.258 del 2018.pdf")</f>
        <v>Determinazione USRC n.258 del 2018.pdf</v>
      </c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>
      <c r="A350" s="7" t="s">
        <v>657</v>
      </c>
      <c r="B350" s="7" t="s">
        <v>702</v>
      </c>
      <c r="C350" s="20" t="s">
        <v>115</v>
      </c>
      <c r="D350" s="7" t="s">
        <v>14</v>
      </c>
      <c r="E350" s="46">
        <v>525.0</v>
      </c>
      <c r="F350" s="7" t="s">
        <v>773</v>
      </c>
      <c r="G350" s="7" t="s">
        <v>16</v>
      </c>
      <c r="H350" s="21" t="str">
        <f>HYPERLINK("http://www.usrc.it/AppRendiConta/det_259_20180430.pdf","Determinazione USRC n.259 del 2018.pdf")</f>
        <v>Determinazione USRC n.259 del 2018.pdf</v>
      </c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>
      <c r="A351" s="7" t="s">
        <v>657</v>
      </c>
      <c r="B351" s="7" t="s">
        <v>702</v>
      </c>
      <c r="C351" s="20" t="s">
        <v>115</v>
      </c>
      <c r="D351" s="7" t="s">
        <v>14</v>
      </c>
      <c r="E351" s="46">
        <v>1560.0</v>
      </c>
      <c r="F351" s="7" t="s">
        <v>774</v>
      </c>
      <c r="G351" s="7" t="s">
        <v>16</v>
      </c>
      <c r="H351" s="21" t="str">
        <f>HYPERLINK("http://www.usrc.it/AppRendiConta/det_260_20180430.pdf","Determinazione USRC n.260 del 2018.pdf")</f>
        <v>Determinazione USRC n.260 del 2018.pdf</v>
      </c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>
      <c r="A352" s="7" t="s">
        <v>407</v>
      </c>
      <c r="B352" s="7" t="s">
        <v>750</v>
      </c>
      <c r="C352" s="20" t="s">
        <v>195</v>
      </c>
      <c r="D352" s="7" t="s">
        <v>14</v>
      </c>
      <c r="E352" s="46">
        <v>3000.0</v>
      </c>
      <c r="F352" s="7" t="s">
        <v>775</v>
      </c>
      <c r="G352" s="7" t="s">
        <v>16</v>
      </c>
      <c r="H352" s="21" t="str">
        <f>HYPERLINK("http://www.usrc.it/AppRendiConta/det_285_20180507.pdf","Determinazione USRC n.285 del 2018.pdf")</f>
        <v>Determinazione USRC n.285 del 2018.pdf</v>
      </c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>
      <c r="A353" s="7" t="s">
        <v>616</v>
      </c>
      <c r="B353" s="7" t="s">
        <v>617</v>
      </c>
      <c r="C353" s="20" t="s">
        <v>618</v>
      </c>
      <c r="D353" s="7" t="s">
        <v>14</v>
      </c>
      <c r="E353" s="46">
        <v>1529.88</v>
      </c>
      <c r="F353" s="7" t="s">
        <v>776</v>
      </c>
      <c r="G353" s="7" t="s">
        <v>16</v>
      </c>
      <c r="H353" s="21" t="str">
        <f>HYPERLINK("http://www.usrc.it/AppRendiConta/det_286_20180507.pdf","Determinazione USRC n.286 del 2018.pdf")</f>
        <v>Determinazione USRC n.286 del 2018.pdf</v>
      </c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>
      <c r="A354" s="7" t="s">
        <v>333</v>
      </c>
      <c r="B354" s="7" t="s">
        <v>334</v>
      </c>
      <c r="C354" s="20" t="s">
        <v>335</v>
      </c>
      <c r="D354" s="7" t="s">
        <v>32</v>
      </c>
      <c r="E354" s="46">
        <v>5472.0</v>
      </c>
      <c r="F354" s="7" t="s">
        <v>777</v>
      </c>
      <c r="G354" s="7" t="s">
        <v>423</v>
      </c>
      <c r="H354" s="21" t="str">
        <f>HYPERLINK("http://www.usrc.it/AppRendiConta/det_287_20180507.pdf","Determinazione USRC n.287 del 2018.pdf")</f>
        <v>Determinazione USRC n.287 del 2018.pdf</v>
      </c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>
      <c r="A355" s="18" t="s">
        <v>638</v>
      </c>
      <c r="B355" s="48" t="s">
        <v>107</v>
      </c>
      <c r="C355" s="50" t="s">
        <v>108</v>
      </c>
      <c r="D355" s="48" t="s">
        <v>14</v>
      </c>
      <c r="E355" s="46">
        <v>8109.34</v>
      </c>
      <c r="F355" s="7" t="s">
        <v>778</v>
      </c>
      <c r="G355" s="7" t="s">
        <v>16</v>
      </c>
      <c r="H355" s="21" t="str">
        <f>HYPERLINK("http://www.usrc.it/AppRendiConta/det_275_20180503.pdf","Determinazione USRC n.275 del 2018.pdf")</f>
        <v>Determinazione USRC n.275 del 2018.pdf</v>
      </c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>
      <c r="A356" s="47" t="s">
        <v>638</v>
      </c>
      <c r="B356" s="48" t="s">
        <v>107</v>
      </c>
      <c r="C356" s="50" t="s">
        <v>108</v>
      </c>
      <c r="D356" s="48" t="s">
        <v>14</v>
      </c>
      <c r="E356" s="44">
        <v>8109.34</v>
      </c>
      <c r="F356" s="7" t="s">
        <v>779</v>
      </c>
      <c r="G356" s="7" t="s">
        <v>16</v>
      </c>
      <c r="H356" s="21" t="str">
        <f>HYPERLINK("http://www.usrc.it/AppRendiConta/det_276_20180503.pdf","Determinazione USRC n.276 del 2018.pdf")</f>
        <v>Determinazione USRC n.276 del 2018.pdf</v>
      </c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>
      <c r="A357" s="7" t="s">
        <v>491</v>
      </c>
      <c r="B357" s="7" t="s">
        <v>492</v>
      </c>
      <c r="C357" s="36" t="s">
        <v>215</v>
      </c>
      <c r="D357" s="7" t="s">
        <v>14</v>
      </c>
      <c r="E357" s="46">
        <v>3836.85</v>
      </c>
      <c r="F357" s="7" t="s">
        <v>780</v>
      </c>
      <c r="G357" s="36" t="s">
        <v>16</v>
      </c>
      <c r="H357" s="37" t="str">
        <f>HYPERLINK("http://www.usrc.it/AppRendiConta/det_279_20180503.pdf","Determinazione USRC n.279 del 2018.pdf")</f>
        <v>Determinazione USRC n.279 del 2018.pdf</v>
      </c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>
      <c r="A358" s="47" t="s">
        <v>638</v>
      </c>
      <c r="B358" s="48" t="s">
        <v>107</v>
      </c>
      <c r="C358" s="50" t="s">
        <v>108</v>
      </c>
      <c r="D358" s="48" t="s">
        <v>14</v>
      </c>
      <c r="E358" s="46">
        <v>8109.34</v>
      </c>
      <c r="F358" s="7" t="s">
        <v>781</v>
      </c>
      <c r="G358" s="36" t="s">
        <v>16</v>
      </c>
      <c r="H358" s="37" t="str">
        <f>HYPERLINK("http://www.usrc.it/AppRendiConta/det_318_20180510.pdf","Determinazione USRC n.318 del 2018.pdf")</f>
        <v>Determinazione USRC n.318 del 2018.pdf</v>
      </c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>
      <c r="A359" s="47" t="s">
        <v>782</v>
      </c>
      <c r="B359" s="48" t="s">
        <v>412</v>
      </c>
      <c r="C359" s="50" t="s">
        <v>413</v>
      </c>
      <c r="D359" s="48" t="s">
        <v>14</v>
      </c>
      <c r="E359" s="46">
        <v>2000.0</v>
      </c>
      <c r="F359" s="7" t="s">
        <v>783</v>
      </c>
      <c r="G359" s="36" t="s">
        <v>16</v>
      </c>
      <c r="H359" s="37" t="str">
        <f>HYPERLINK("http://www.usrc.it/AppRendiConta/det_414_20180723.pdf","Determinazione USRC n.414 del 2018.pdf")</f>
        <v>Determinazione USRC n.414 del 2018.pdf</v>
      </c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>
      <c r="A360" s="47" t="s">
        <v>382</v>
      </c>
      <c r="B360" s="48" t="s">
        <v>96</v>
      </c>
      <c r="C360" s="50" t="s">
        <v>97</v>
      </c>
      <c r="D360" s="48" t="s">
        <v>32</v>
      </c>
      <c r="E360" s="46">
        <v>1168.58</v>
      </c>
      <c r="F360" s="7" t="s">
        <v>784</v>
      </c>
      <c r="G360" s="36" t="s">
        <v>16</v>
      </c>
      <c r="H360" s="37" t="str">
        <f>HYPERLINK("http://www.usrc.it/AppRendiConta/det_415_20180723.pdf","Determinazione USRC n.415 del 2018.pdf")</f>
        <v>Determinazione USRC n.415 del 2018.pdf</v>
      </c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>
      <c r="A361" s="47" t="s">
        <v>785</v>
      </c>
      <c r="B361" s="48" t="s">
        <v>370</v>
      </c>
      <c r="C361" s="50" t="s">
        <v>371</v>
      </c>
      <c r="D361" s="48" t="s">
        <v>14</v>
      </c>
      <c r="E361" s="46">
        <v>380.0</v>
      </c>
      <c r="F361" s="7" t="s">
        <v>786</v>
      </c>
      <c r="G361" s="36" t="s">
        <v>16</v>
      </c>
      <c r="H361" s="37" t="str">
        <f>HYPERLINK("http://www.usrc.it/AppRendiConta/det_416_20180723.pdf","Determinazione USRC n.416 del 2018.pdf")</f>
        <v>Determinazione USRC n.416 del 2018.pdf</v>
      </c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>
      <c r="A362" s="47" t="s">
        <v>787</v>
      </c>
      <c r="B362" s="48" t="s">
        <v>388</v>
      </c>
      <c r="C362" s="50" t="s">
        <v>277</v>
      </c>
      <c r="D362" s="48" t="s">
        <v>32</v>
      </c>
      <c r="E362" s="46">
        <v>291.0</v>
      </c>
      <c r="F362" s="7" t="s">
        <v>788</v>
      </c>
      <c r="G362" s="36" t="s">
        <v>16</v>
      </c>
      <c r="H362" s="37" t="str">
        <f>HYPERLINK("http://www.usrc.it/AppRendiConta/det_417_20180723.pdf","Determinazione USRC n.417 del 2018.pdf")</f>
        <v>Determinazione USRC n.417 del 2018.pdf</v>
      </c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>
      <c r="A363" s="47" t="s">
        <v>533</v>
      </c>
      <c r="B363" s="48" t="s">
        <v>366</v>
      </c>
      <c r="C363" s="50" t="s">
        <v>367</v>
      </c>
      <c r="D363" s="48" t="s">
        <v>14</v>
      </c>
      <c r="E363" s="46">
        <v>258.81</v>
      </c>
      <c r="F363" s="7" t="s">
        <v>789</v>
      </c>
      <c r="G363" s="36" t="s">
        <v>16</v>
      </c>
      <c r="H363" s="37" t="str">
        <f>HYPERLINK("http://www.usrc.it/AppRendiConta/det_421_20180725.pdf","Determinazione USRC n.421 del 2018.pdf")</f>
        <v>Determinazione USRC n.421 del 2018.pdf</v>
      </c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>
      <c r="A364" s="47" t="s">
        <v>415</v>
      </c>
      <c r="B364" s="48" t="s">
        <v>530</v>
      </c>
      <c r="C364" s="50" t="s">
        <v>417</v>
      </c>
      <c r="D364" s="48" t="s">
        <v>14</v>
      </c>
      <c r="E364" s="46">
        <v>8973.95</v>
      </c>
      <c r="F364" s="7" t="s">
        <v>790</v>
      </c>
      <c r="G364" s="36" t="s">
        <v>16</v>
      </c>
      <c r="H364" s="37" t="str">
        <f>HYPERLINK("http://www.usrc.it/AppRendiConta/det_422_20180725.pdf","Determinazione USRC n.422 del 2018.pdf")</f>
        <v>Determinazione USRC n.422 del 2018.pdf</v>
      </c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>
      <c r="A365" s="47" t="s">
        <v>420</v>
      </c>
      <c r="B365" s="48" t="s">
        <v>791</v>
      </c>
      <c r="C365" s="50" t="s">
        <v>417</v>
      </c>
      <c r="D365" s="48" t="s">
        <v>14</v>
      </c>
      <c r="E365" s="46">
        <v>3917.18</v>
      </c>
      <c r="F365" s="7" t="s">
        <v>792</v>
      </c>
      <c r="G365" s="36" t="s">
        <v>16</v>
      </c>
      <c r="H365" s="37" t="str">
        <f>HYPERLINK("http://www.usrc.it/AppRendiConta/det_423_20180725.pdf","Determinazione USRC n.423 del 2018.pdf")</f>
        <v>Determinazione USRC n.423 del 2018.pdf</v>
      </c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>
      <c r="A366" s="7" t="s">
        <v>793</v>
      </c>
      <c r="B366" s="7" t="s">
        <v>794</v>
      </c>
      <c r="C366" s="50" t="s">
        <v>795</v>
      </c>
      <c r="D366" s="7" t="s">
        <v>32</v>
      </c>
      <c r="E366" s="46">
        <v>364.11</v>
      </c>
      <c r="F366" s="7" t="s">
        <v>796</v>
      </c>
      <c r="G366" s="36" t="s">
        <v>16</v>
      </c>
      <c r="H366" s="37" t="str">
        <f>HYPERLINK("http://www.usrc.it/AppRendiConta/det_432_20180727.pdf","Determinazione USRC n.432 del 2018.pdf")</f>
        <v>Determinazione USRC n.432 del 2018.pdf</v>
      </c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>
      <c r="A367" s="54" t="s">
        <v>797</v>
      </c>
      <c r="B367" s="7" t="s">
        <v>402</v>
      </c>
      <c r="C367" s="50" t="s">
        <v>81</v>
      </c>
      <c r="D367" s="7" t="s">
        <v>32</v>
      </c>
      <c r="E367" s="46">
        <v>266.56</v>
      </c>
      <c r="F367" s="7" t="s">
        <v>798</v>
      </c>
      <c r="G367" s="36" t="s">
        <v>16</v>
      </c>
      <c r="H367" s="37" t="str">
        <f>HYPERLINK("http://www.usrc.it/AppRendiConta/det_433_20180727.pdf","Determinazione USRC n.433 del 2018.pdf")</f>
        <v>Determinazione USRC n.433 del 2018.pdf</v>
      </c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>
      <c r="A368" s="7" t="s">
        <v>799</v>
      </c>
      <c r="B368" s="7" t="s">
        <v>800</v>
      </c>
      <c r="C368" s="50" t="s">
        <v>801</v>
      </c>
      <c r="D368" s="7" t="s">
        <v>32</v>
      </c>
      <c r="E368" s="46">
        <v>477.0</v>
      </c>
      <c r="F368" s="7" t="s">
        <v>802</v>
      </c>
      <c r="G368" s="36" t="s">
        <v>16</v>
      </c>
      <c r="H368" s="37" t="str">
        <f>HYPERLINK("http://www.usrc.it/AppRendiConta/det_434_20180727.pdf","Determinazione USRC n.434 del 2018.pdf")</f>
        <v>Determinazione USRC n.434 del 2018.pdf</v>
      </c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>
      <c r="A369" s="7" t="s">
        <v>803</v>
      </c>
      <c r="B369" s="7" t="s">
        <v>91</v>
      </c>
      <c r="C369" s="50" t="s">
        <v>92</v>
      </c>
      <c r="D369" s="7" t="s">
        <v>14</v>
      </c>
      <c r="E369" s="46">
        <v>6672.0</v>
      </c>
      <c r="F369" s="7" t="s">
        <v>804</v>
      </c>
      <c r="G369" s="36" t="s">
        <v>16</v>
      </c>
      <c r="H369" s="37" t="str">
        <f>HYPERLINK("http://www.usrc.it/AppRendiConta/det_449_20180806.pdf","Determinazione USRC n.449 del 2018.pdf")</f>
        <v>Determinazione USRC n.449 del 2018.pdf</v>
      </c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>
      <c r="A370" s="7" t="s">
        <v>333</v>
      </c>
      <c r="B370" s="7" t="s">
        <v>334</v>
      </c>
      <c r="C370" s="50" t="s">
        <v>335</v>
      </c>
      <c r="D370" s="7" t="s">
        <v>32</v>
      </c>
      <c r="E370" s="46">
        <v>5472.0</v>
      </c>
      <c r="F370" s="7" t="s">
        <v>805</v>
      </c>
      <c r="G370" s="36" t="s">
        <v>16</v>
      </c>
      <c r="H370" s="37" t="str">
        <f>HYPERLINK("http://www.usrc.it/AppRendiConta/det_450_20180806.pdf","Determinazione USRC n.450 del 2018.pdf")</f>
        <v>Determinazione USRC n.450 del 2018.pdf</v>
      </c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>
      <c r="A371" s="7" t="s">
        <v>514</v>
      </c>
      <c r="B371" s="7" t="s">
        <v>518</v>
      </c>
      <c r="C371" s="50" t="s">
        <v>69</v>
      </c>
      <c r="D371" s="7" t="s">
        <v>14</v>
      </c>
      <c r="E371" s="46">
        <v>948.0</v>
      </c>
      <c r="F371" s="7" t="s">
        <v>806</v>
      </c>
      <c r="G371" s="36" t="s">
        <v>16</v>
      </c>
      <c r="H371" s="37" t="str">
        <f>HYPERLINK("http://www.usrc.it/AppRendiConta/det_451_20180806.pdf","Determinazione USRC n.451 del 2018.pdf")</f>
        <v>Determinazione USRC n.451 del 2018.pdf</v>
      </c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>
      <c r="A372" s="7" t="s">
        <v>517</v>
      </c>
      <c r="B372" s="7" t="s">
        <v>515</v>
      </c>
      <c r="C372" s="50" t="s">
        <v>69</v>
      </c>
      <c r="D372" s="7" t="s">
        <v>14</v>
      </c>
      <c r="E372" s="46">
        <v>1162.78</v>
      </c>
      <c r="F372" s="7" t="s">
        <v>807</v>
      </c>
      <c r="G372" s="36" t="s">
        <v>16</v>
      </c>
      <c r="H372" s="37" t="str">
        <f>HYPERLINK("http://www.usrc.it/AppRendiConta/det_452_20180806.pdf","Determinazione USRC n.452 del 2018.pdf")</f>
        <v>Determinazione USRC n.452 del 2018.pdf</v>
      </c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>
      <c r="A373" s="54" t="s">
        <v>808</v>
      </c>
      <c r="B373" s="41" t="s">
        <v>346</v>
      </c>
      <c r="C373" s="50" t="s">
        <v>347</v>
      </c>
      <c r="D373" s="41" t="s">
        <v>14</v>
      </c>
      <c r="E373" s="55">
        <v>141.18</v>
      </c>
      <c r="F373" s="7" t="s">
        <v>809</v>
      </c>
      <c r="G373" s="36" t="s">
        <v>16</v>
      </c>
      <c r="H373" s="37" t="str">
        <f>HYPERLINK("http://www.usrc.it/AppRendiConta/det_453_20180806.pdf","Determinazione USRC n.453 del 2018.pdf")</f>
        <v>Determinazione USRC n.453 del 2018.pdf</v>
      </c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>
      <c r="A374" s="54" t="s">
        <v>797</v>
      </c>
      <c r="B374" s="7" t="s">
        <v>402</v>
      </c>
      <c r="C374" s="50" t="s">
        <v>81</v>
      </c>
      <c r="D374" s="7" t="s">
        <v>32</v>
      </c>
      <c r="E374" s="46">
        <v>179.61</v>
      </c>
      <c r="F374" s="7" t="s">
        <v>810</v>
      </c>
      <c r="G374" s="7" t="s">
        <v>16</v>
      </c>
      <c r="H374" s="37" t="str">
        <f>HYPERLINK("http://www.usrc.it/AppRendiConta/det_541_20180920.pdf","Determinazione USRC n.541 del 2018.pdf")</f>
        <v>Determinazione USRC n.541 del 2018.pdf</v>
      </c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>
      <c r="A375" s="7" t="s">
        <v>333</v>
      </c>
      <c r="B375" s="7" t="s">
        <v>334</v>
      </c>
      <c r="C375" s="50" t="s">
        <v>335</v>
      </c>
      <c r="D375" s="7" t="s">
        <v>32</v>
      </c>
      <c r="E375" s="46">
        <v>2736.0</v>
      </c>
      <c r="F375" s="7" t="s">
        <v>811</v>
      </c>
      <c r="G375" s="7" t="s">
        <v>423</v>
      </c>
      <c r="H375" s="37" t="str">
        <f>HYPERLINK("http://www.usrc.it/AppRendiConta/det_542_20180920.pdf","Determinazione USRC n.542 del 2018.pdf")</f>
        <v>Determinazione USRC n.542 del 2018.pdf</v>
      </c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>
      <c r="A376" s="7" t="s">
        <v>514</v>
      </c>
      <c r="B376" s="7" t="s">
        <v>518</v>
      </c>
      <c r="C376" s="50" t="s">
        <v>69</v>
      </c>
      <c r="D376" s="7" t="s">
        <v>14</v>
      </c>
      <c r="E376" s="46">
        <v>965.47</v>
      </c>
      <c r="F376" s="7" t="s">
        <v>812</v>
      </c>
      <c r="G376" s="7" t="s">
        <v>16</v>
      </c>
      <c r="H376" s="37" t="str">
        <f>HYPERLINK("http://www.usrc.it/AppRendiConta/det_543_20180920.pdf","Determinazione USRC n.543 del 2018.pdf")</f>
        <v>Determinazione USRC n.543 del 2018.pdf</v>
      </c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>
      <c r="A377" s="7" t="s">
        <v>517</v>
      </c>
      <c r="B377" s="7" t="s">
        <v>515</v>
      </c>
      <c r="C377" s="50" t="s">
        <v>69</v>
      </c>
      <c r="D377" s="7" t="s">
        <v>14</v>
      </c>
      <c r="E377" s="46">
        <v>1159.7</v>
      </c>
      <c r="F377" s="7" t="s">
        <v>813</v>
      </c>
      <c r="G377" s="7" t="s">
        <v>16</v>
      </c>
      <c r="H377" s="37" t="str">
        <f>HYPERLINK("http://www.usrc.it/AppRendiConta/det_544_20180920.pdf","Determinazione USRC n.544 del 2018.pdf")</f>
        <v>Determinazione USRC n.544 del 2018.pdf</v>
      </c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>
      <c r="A378" s="7" t="s">
        <v>814</v>
      </c>
      <c r="B378" s="7" t="s">
        <v>346</v>
      </c>
      <c r="C378" s="50" t="s">
        <v>347</v>
      </c>
      <c r="D378" s="7" t="s">
        <v>14</v>
      </c>
      <c r="E378" s="46">
        <v>200.25</v>
      </c>
      <c r="F378" s="7" t="s">
        <v>815</v>
      </c>
      <c r="G378" s="7" t="s">
        <v>16</v>
      </c>
      <c r="H378" s="37" t="str">
        <f>HYPERLINK("http://www.usrc.it/AppRendiConta/det_550_20180925.pdf","Determinazione USRC n.550 del 2018.pdf")</f>
        <v>Determinazione USRC n.550 del 2018.pdf</v>
      </c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>
      <c r="A379" s="7" t="s">
        <v>696</v>
      </c>
      <c r="B379" s="7" t="s">
        <v>697</v>
      </c>
      <c r="C379" s="50" t="s">
        <v>698</v>
      </c>
      <c r="D379" s="7" t="s">
        <v>14</v>
      </c>
      <c r="E379" s="46">
        <v>329.2</v>
      </c>
      <c r="F379" s="7" t="s">
        <v>816</v>
      </c>
      <c r="G379" s="7" t="s">
        <v>16</v>
      </c>
      <c r="H379" s="37" t="str">
        <f>HYPERLINK("http://www.usrc.it/AppRendiConta/det_551_20180925.pdf","Determinazione USRC n.551 del 2018.pdf")</f>
        <v>Determinazione USRC n.551 del 2018.pdf</v>
      </c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>
      <c r="A380" s="7"/>
      <c r="B380" s="7" t="s">
        <v>817</v>
      </c>
      <c r="C380" s="50"/>
      <c r="D380" s="7" t="s">
        <v>14</v>
      </c>
      <c r="E380" s="46">
        <v>2587.39</v>
      </c>
      <c r="F380" s="7" t="s">
        <v>818</v>
      </c>
      <c r="G380" s="7" t="s">
        <v>16</v>
      </c>
      <c r="H380" s="37" t="str">
        <f>HYPERLINK("http://www.usrc.it/AppRendiConta/det_553_20180925.pdf","Determinazione USRC n.553 del 2018.pdf")</f>
        <v>Determinazione USRC n.553 del 2018.pdf</v>
      </c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>
      <c r="A381" s="7" t="s">
        <v>688</v>
      </c>
      <c r="B381" s="56" t="s">
        <v>500</v>
      </c>
      <c r="C381" s="50" t="s">
        <v>501</v>
      </c>
      <c r="D381" s="7" t="s">
        <v>14</v>
      </c>
      <c r="E381" s="46">
        <v>1900.0</v>
      </c>
      <c r="F381" s="7" t="s">
        <v>819</v>
      </c>
      <c r="G381" s="7" t="s">
        <v>16</v>
      </c>
      <c r="H381" s="37" t="str">
        <f>HYPERLINK("http://www.usrc.it/AppRendiConta/det_593_20181011.pdf","Determinazione USRC n.593 del 2018.pdf")</f>
        <v>Determinazione USRC n.593 del 2018.pdf</v>
      </c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>
      <c r="A382" s="7" t="s">
        <v>533</v>
      </c>
      <c r="B382" s="7" t="s">
        <v>366</v>
      </c>
      <c r="C382" s="50" t="s">
        <v>367</v>
      </c>
      <c r="D382" s="7" t="s">
        <v>14</v>
      </c>
      <c r="E382" s="46">
        <v>101.45</v>
      </c>
      <c r="F382" s="7" t="s">
        <v>820</v>
      </c>
      <c r="G382" s="7" t="s">
        <v>16</v>
      </c>
      <c r="H382" s="37" t="str">
        <f>HYPERLINK("http://www.usrc.it/AppRendiConta/det_594_20181011.pdf","Determinazione USRC n.594 del 2018.pdf")</f>
        <v>Determinazione USRC n.594 del 2018.pdf</v>
      </c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>
      <c r="A383" s="7" t="s">
        <v>407</v>
      </c>
      <c r="B383" s="54" t="s">
        <v>750</v>
      </c>
      <c r="C383" s="50" t="s">
        <v>195</v>
      </c>
      <c r="D383" s="7" t="s">
        <v>14</v>
      </c>
      <c r="E383" s="46">
        <v>1000.0</v>
      </c>
      <c r="F383" s="7" t="s">
        <v>821</v>
      </c>
      <c r="G383" s="7" t="s">
        <v>16</v>
      </c>
      <c r="H383" s="37" t="str">
        <f>HYPERLINK("http://www.usrc.it/AppRendiConta/det_595_20181011.pdf","Determinazione USRC n.595 del 2018.pdf")</f>
        <v>Determinazione USRC n.595 del 2018.pdf</v>
      </c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>
      <c r="A384" s="7" t="s">
        <v>382</v>
      </c>
      <c r="B384" s="7" t="s">
        <v>96</v>
      </c>
      <c r="C384" s="8" t="s">
        <v>97</v>
      </c>
      <c r="D384" s="7" t="s">
        <v>32</v>
      </c>
      <c r="E384" s="46">
        <v>1672.53</v>
      </c>
      <c r="F384" s="7" t="s">
        <v>822</v>
      </c>
      <c r="G384" s="7" t="s">
        <v>16</v>
      </c>
      <c r="H384" s="37" t="str">
        <f>HYPERLINK("http://www.usrc.it/AppRendiConta/det_10_20190114.pdf","Determinazione USRC n.10 del 2019.pdf")</f>
        <v>Determinazione USRC n.10 del 2019.pdf</v>
      </c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>
      <c r="A385" s="54" t="s">
        <v>823</v>
      </c>
      <c r="B385" s="7" t="s">
        <v>824</v>
      </c>
      <c r="C385" s="40" t="s">
        <v>445</v>
      </c>
      <c r="D385" s="7" t="s">
        <v>32</v>
      </c>
      <c r="E385" s="46">
        <v>1112.0</v>
      </c>
      <c r="F385" s="7" t="s">
        <v>825</v>
      </c>
      <c r="G385" s="7" t="s">
        <v>16</v>
      </c>
      <c r="H385" s="37" t="str">
        <f>HYPERLINK("http://www.usrc.it/AppRendiConta/det_41_20190116.pdf","Determinazione USRC n.41 del 2019.pdf")</f>
        <v>Determinazione USRC n.41 del 2019.pdf</v>
      </c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>
      <c r="A386" s="7" t="s">
        <v>826</v>
      </c>
      <c r="B386" s="7" t="s">
        <v>827</v>
      </c>
      <c r="C386" s="8" t="s">
        <v>828</v>
      </c>
      <c r="D386" s="7" t="s">
        <v>32</v>
      </c>
      <c r="E386" s="46">
        <v>480.0</v>
      </c>
      <c r="F386" s="7" t="s">
        <v>829</v>
      </c>
      <c r="G386" s="7" t="s">
        <v>16</v>
      </c>
      <c r="H386" s="37" t="str">
        <f>HYPERLINK("http://www.usrc.it/AppRendiConta/det_42_20190116.pdf","Determinazione USRC n.42 del 2019.pdf")</f>
        <v>Determinazione USRC n.42 del 2019.pdf</v>
      </c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>
      <c r="A387" s="7" t="s">
        <v>830</v>
      </c>
      <c r="B387" s="7" t="s">
        <v>487</v>
      </c>
      <c r="C387" s="8" t="s">
        <v>488</v>
      </c>
      <c r="D387" s="7" t="s">
        <v>32</v>
      </c>
      <c r="E387" s="46">
        <v>477.25</v>
      </c>
      <c r="F387" s="7" t="s">
        <v>831</v>
      </c>
      <c r="G387" s="7" t="s">
        <v>16</v>
      </c>
      <c r="H387" s="37" t="str">
        <f>HYPERLINK("http://www.usrc.it/AppRendiConta/det_43_20190116.pdf","Determinazione USRC n 43 del 2019.pdf")</f>
        <v>Determinazione USRC n 43 del 2019.pdf</v>
      </c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>
      <c r="A388" s="7" t="s">
        <v>517</v>
      </c>
      <c r="B388" s="7" t="s">
        <v>518</v>
      </c>
      <c r="C388" s="8" t="s">
        <v>69</v>
      </c>
      <c r="D388" s="7" t="s">
        <v>14</v>
      </c>
      <c r="E388" s="46">
        <v>1902.62</v>
      </c>
      <c r="F388" s="7" t="s">
        <v>832</v>
      </c>
      <c r="G388" s="7" t="s">
        <v>16</v>
      </c>
      <c r="H388" s="37" t="str">
        <f>HYPERLINK("http://www.usrc.it/AppRendiConta/det_44_20190116.pdf","Determinazione USRC n.44 del 2019.pdf")</f>
        <v>Determinazione USRC n.44 del 2019.pdf</v>
      </c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>
      <c r="A389" s="7" t="s">
        <v>514</v>
      </c>
      <c r="B389" s="7" t="s">
        <v>515</v>
      </c>
      <c r="C389" s="8" t="s">
        <v>69</v>
      </c>
      <c r="D389" s="7" t="s">
        <v>14</v>
      </c>
      <c r="E389" s="46">
        <v>2431.11</v>
      </c>
      <c r="F389" s="7" t="s">
        <v>833</v>
      </c>
      <c r="G389" s="7" t="s">
        <v>16</v>
      </c>
      <c r="H389" s="37" t="str">
        <f>HYPERLINK("http://www.usrc.it/AppRendiConta/det_45_20190116.pdf","Determinazione USRC n.45 del 2019.pdf")</f>
        <v>Determinazione USRC n.45 del 2019.pdf</v>
      </c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>
      <c r="A390" s="7" t="s">
        <v>333</v>
      </c>
      <c r="B390" s="7" t="s">
        <v>334</v>
      </c>
      <c r="C390" s="8" t="s">
        <v>335</v>
      </c>
      <c r="D390" s="7" t="s">
        <v>32</v>
      </c>
      <c r="E390" s="46">
        <v>13680.0</v>
      </c>
      <c r="F390" s="7" t="s">
        <v>834</v>
      </c>
      <c r="G390" s="7" t="s">
        <v>423</v>
      </c>
      <c r="H390" s="37" t="str">
        <f>HYPERLINK("http://www.usrc.it/AppRendiConta/det_55_20190121.pdf","Determinazione USRC n.55 del 2019.pdf")</f>
        <v>Determinazione USRC n.55 del 2019.pdf</v>
      </c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>
      <c r="A391" s="54" t="s">
        <v>797</v>
      </c>
      <c r="B391" s="7" t="s">
        <v>402</v>
      </c>
      <c r="C391" s="8" t="s">
        <v>81</v>
      </c>
      <c r="D391" s="7" t="s">
        <v>32</v>
      </c>
      <c r="E391" s="46">
        <v>244.16</v>
      </c>
      <c r="F391" s="7" t="s">
        <v>835</v>
      </c>
      <c r="G391" s="7" t="s">
        <v>16</v>
      </c>
      <c r="H391" s="37" t="str">
        <f>HYPERLINK("http://www.usrc.it/AppRendiConta/det_56_20190121.pdf","Determinazione USRC n.56 del 2019.pdf")</f>
        <v>Determinazione USRC n.56 del 2019.pdf</v>
      </c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>
      <c r="A392" s="54" t="s">
        <v>814</v>
      </c>
      <c r="B392" s="7" t="s">
        <v>346</v>
      </c>
      <c r="C392" s="8" t="s">
        <v>347</v>
      </c>
      <c r="D392" s="7" t="s">
        <v>14</v>
      </c>
      <c r="E392" s="46">
        <v>205.11</v>
      </c>
      <c r="F392" s="7" t="s">
        <v>836</v>
      </c>
      <c r="G392" s="7" t="s">
        <v>16</v>
      </c>
      <c r="H392" s="37" t="str">
        <f>HYPERLINK("http://www.usrc.it/AppRendiConta/det_70_20190122.pdf","Determinazione USRC n.70 del 2019.pdf")</f>
        <v>Determinazione USRC n.70 del 2019.pdf</v>
      </c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>
      <c r="A393" s="7" t="s">
        <v>700</v>
      </c>
      <c r="B393" s="7" t="s">
        <v>512</v>
      </c>
      <c r="C393" s="8" t="s">
        <v>45</v>
      </c>
      <c r="D393" s="7" t="s">
        <v>14</v>
      </c>
      <c r="E393" s="46">
        <v>2183.49</v>
      </c>
      <c r="F393" s="57" t="s">
        <v>837</v>
      </c>
      <c r="G393" s="7" t="s">
        <v>16</v>
      </c>
      <c r="H393" s="37" t="str">
        <f>HYPERLINK("http://www.usrc.it/AppRendiConta/det_82_20190128.pdf","Determinazione USRC n.82 del 2019.pdf")</f>
        <v>Determinazione USRC n.82 del 2019.pdf</v>
      </c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>
      <c r="A394" s="7" t="s">
        <v>407</v>
      </c>
      <c r="B394" s="54" t="s">
        <v>750</v>
      </c>
      <c r="C394" s="8" t="s">
        <v>195</v>
      </c>
      <c r="D394" s="7" t="s">
        <v>14</v>
      </c>
      <c r="E394" s="46">
        <v>1500.0</v>
      </c>
      <c r="F394" s="57" t="s">
        <v>838</v>
      </c>
      <c r="G394" s="7" t="s">
        <v>16</v>
      </c>
      <c r="H394" s="37" t="str">
        <f>HYPERLINK("http://www.usrc.it/AppRendiConta/det_83_20190128.pdf","Determinazione USRC n.83 del 2019.pdf")</f>
        <v>Determinazione USRC n.83 del 2019.pdf</v>
      </c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>
      <c r="A395" s="7" t="s">
        <v>533</v>
      </c>
      <c r="B395" s="7" t="s">
        <v>366</v>
      </c>
      <c r="C395" s="8" t="s">
        <v>367</v>
      </c>
      <c r="D395" s="7" t="s">
        <v>14</v>
      </c>
      <c r="E395" s="46">
        <v>64.55</v>
      </c>
      <c r="F395" s="57" t="s">
        <v>839</v>
      </c>
      <c r="G395" s="7" t="s">
        <v>16</v>
      </c>
      <c r="H395" s="37" t="str">
        <f>HYPERLINK("http://www.usrc.it/AppRendiConta/det_84_20190128.pdf","Determinazione USRC n.84 del 2019.pdf")</f>
        <v>Determinazione USRC n.84 del 2019.pdf</v>
      </c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>
      <c r="A396" s="54" t="s">
        <v>616</v>
      </c>
      <c r="B396" s="7" t="s">
        <v>617</v>
      </c>
      <c r="C396" s="8" t="s">
        <v>618</v>
      </c>
      <c r="D396" s="7" t="s">
        <v>14</v>
      </c>
      <c r="E396" s="46">
        <v>1529.88</v>
      </c>
      <c r="F396" s="7" t="s">
        <v>840</v>
      </c>
      <c r="G396" s="7" t="s">
        <v>16</v>
      </c>
      <c r="H396" s="37" t="str">
        <f>HYPERLINK("http://www.usrc.it/AppRendiConta/det_96_20190201.pdf","Determinazione USRC n.96 del 2019.pdf")</f>
        <v>Determinazione USRC n.96 del 2019.pdf</v>
      </c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>
      <c r="A397" s="7" t="s">
        <v>566</v>
      </c>
      <c r="B397" s="54" t="s">
        <v>567</v>
      </c>
      <c r="C397" s="8" t="s">
        <v>568</v>
      </c>
      <c r="D397" s="7" t="s">
        <v>32</v>
      </c>
      <c r="E397" s="46">
        <v>397.7</v>
      </c>
      <c r="F397" s="7" t="s">
        <v>841</v>
      </c>
      <c r="G397" s="7" t="s">
        <v>16</v>
      </c>
      <c r="H397" s="37" t="str">
        <f>HYPERLINK("http://www.usrc.it/AppRendiConta/det_97_20190201.pdf","Determinazione USRC n.97 del 2019.pdf")</f>
        <v>Determinazione USRC n.97 del 2019.pdf</v>
      </c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>
      <c r="A398" s="7" t="s">
        <v>415</v>
      </c>
      <c r="B398" s="54" t="s">
        <v>530</v>
      </c>
      <c r="C398" s="8">
        <v>2.29870001E9</v>
      </c>
      <c r="D398" s="7" t="s">
        <v>14</v>
      </c>
      <c r="E398" s="46">
        <v>7660.04</v>
      </c>
      <c r="F398" s="7" t="s">
        <v>842</v>
      </c>
      <c r="G398" s="7" t="s">
        <v>419</v>
      </c>
      <c r="H398" s="37" t="str">
        <f>HYPERLINK("http://www.usrc.it/AppRendiConta/det_101_20190206.pdf","Determinazione USRC n. 101 del 2019.pdf")</f>
        <v>Determinazione USRC n. 101 del 2019.pdf</v>
      </c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>
      <c r="A399" s="7" t="s">
        <v>420</v>
      </c>
      <c r="B399" s="54" t="s">
        <v>530</v>
      </c>
      <c r="C399" s="8">
        <v>2.29870001E9</v>
      </c>
      <c r="D399" s="7" t="s">
        <v>14</v>
      </c>
      <c r="E399" s="46">
        <v>3348.02</v>
      </c>
      <c r="F399" s="7" t="s">
        <v>843</v>
      </c>
      <c r="G399" s="7" t="s">
        <v>419</v>
      </c>
      <c r="H399" s="37" t="str">
        <f>HYPERLINK("http://www.usrc.it/AppRendiConta/det_102_20190206.pdf","Determinazione USRC n. 102 del 2019.pdf")</f>
        <v>Determinazione USRC n. 102 del 2019.pdf</v>
      </c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>
      <c r="A400" s="7" t="s">
        <v>382</v>
      </c>
      <c r="B400" s="54" t="s">
        <v>96</v>
      </c>
      <c r="C400" s="8" t="s">
        <v>97</v>
      </c>
      <c r="D400" s="7" t="s">
        <v>32</v>
      </c>
      <c r="E400" s="46">
        <v>999.22</v>
      </c>
      <c r="F400" s="7" t="s">
        <v>844</v>
      </c>
      <c r="G400" s="7" t="s">
        <v>16</v>
      </c>
      <c r="H400" s="37" t="str">
        <f>HYPERLINK("http://www.usrc.it/AppRendiConta/det_107_20190207.pdf","Determinazione USRC n. 107 del 2019.pdf")</f>
        <v>Determinazione USRC n. 107 del 2019.pdf</v>
      </c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>
      <c r="A401" s="54" t="s">
        <v>814</v>
      </c>
      <c r="B401" s="7" t="s">
        <v>346</v>
      </c>
      <c r="C401" s="8" t="s">
        <v>347</v>
      </c>
      <c r="D401" s="7" t="s">
        <v>14</v>
      </c>
      <c r="E401" s="46">
        <v>211.59</v>
      </c>
      <c r="F401" s="7" t="s">
        <v>845</v>
      </c>
      <c r="G401" s="7" t="s">
        <v>16</v>
      </c>
      <c r="H401" s="37" t="str">
        <f>HYPERLINK("http://www.usrc.it/AppRendiConta/det_125_20190219.pdf","Determinazione USRC n. 125 del 2019.pdf")</f>
        <v>Determinazione USRC n. 125 del 2019.pdf</v>
      </c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>
      <c r="A402" s="7" t="s">
        <v>415</v>
      </c>
      <c r="B402" s="7" t="s">
        <v>530</v>
      </c>
      <c r="C402" s="8" t="s">
        <v>417</v>
      </c>
      <c r="D402" s="7" t="s">
        <v>14</v>
      </c>
      <c r="E402" s="46">
        <v>7670.04</v>
      </c>
      <c r="F402" s="7" t="s">
        <v>846</v>
      </c>
      <c r="G402" s="7" t="s">
        <v>419</v>
      </c>
      <c r="H402" s="37" t="str">
        <f>HYPERLINK("http://www.usrc.it/AppRendiConta/det_126_20190219.pdf","Determinazione USRC n. 126 del 2019.pdf")</f>
        <v>Determinazione USRC n. 126 del 2019.pdf</v>
      </c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>
      <c r="A403" s="7" t="s">
        <v>420</v>
      </c>
      <c r="B403" s="7" t="s">
        <v>530</v>
      </c>
      <c r="C403" s="8" t="s">
        <v>417</v>
      </c>
      <c r="D403" s="7" t="s">
        <v>14</v>
      </c>
      <c r="E403" s="46">
        <v>3348.02</v>
      </c>
      <c r="F403" s="7" t="s">
        <v>847</v>
      </c>
      <c r="G403" s="7" t="s">
        <v>419</v>
      </c>
      <c r="H403" s="37" t="str">
        <f>HYPERLINK("http://www.usrc.it/AppRendiConta/det_127_20190219.pdf","Determinazione USRC n. 127 del 2019.pdf")</f>
        <v>Determinazione USRC n. 127 del 2019.pdf</v>
      </c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>
      <c r="A404" s="7" t="s">
        <v>797</v>
      </c>
      <c r="B404" s="7" t="s">
        <v>402</v>
      </c>
      <c r="C404" s="8" t="s">
        <v>81</v>
      </c>
      <c r="D404" s="7" t="s">
        <v>32</v>
      </c>
      <c r="E404" s="46">
        <v>311.96</v>
      </c>
      <c r="F404" s="7" t="s">
        <v>848</v>
      </c>
      <c r="G404" s="7" t="s">
        <v>16</v>
      </c>
      <c r="H404" s="37" t="str">
        <f>HYPERLINK("http://www.usrc.it/AppRendiConta/det_149_20190226.pdf","Determinazione USRC n. 149 del 2019.pdf")</f>
        <v>Determinazione USRC n. 149 del 2019.pdf</v>
      </c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>
      <c r="A405" s="7" t="s">
        <v>657</v>
      </c>
      <c r="B405" s="7" t="s">
        <v>702</v>
      </c>
      <c r="C405" s="8" t="s">
        <v>115</v>
      </c>
      <c r="D405" s="7" t="s">
        <v>14</v>
      </c>
      <c r="E405" s="46">
        <v>3726.0</v>
      </c>
      <c r="F405" s="7" t="s">
        <v>849</v>
      </c>
      <c r="G405" s="7" t="s">
        <v>16</v>
      </c>
      <c r="H405" s="37" t="str">
        <f>HYPERLINK("http://www.usrc.it/AppRendiConta/det_170_20190308.pdf","Determinazione USRC n. 170 del 2019.pdf")</f>
        <v>Determinazione USRC n. 170 del 2019.pdf</v>
      </c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>
      <c r="A406" s="7" t="s">
        <v>533</v>
      </c>
      <c r="B406" s="7" t="s">
        <v>366</v>
      </c>
      <c r="C406" s="8" t="s">
        <v>367</v>
      </c>
      <c r="D406" s="7" t="s">
        <v>14</v>
      </c>
      <c r="E406" s="46">
        <v>151.94</v>
      </c>
      <c r="F406" s="7" t="s">
        <v>850</v>
      </c>
      <c r="G406" s="7" t="s">
        <v>16</v>
      </c>
      <c r="H406" s="37" t="str">
        <f>HYPERLINK("http://www.usrc.it/AppRendiConta/det_171_20190308.pdf","Determinazione USRC n. 171 del 2019.pdf")</f>
        <v>Determinazione USRC n. 171 del 2019.pdf</v>
      </c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>
      <c r="A407" s="7" t="s">
        <v>333</v>
      </c>
      <c r="B407" s="7" t="s">
        <v>334</v>
      </c>
      <c r="C407" s="8" t="s">
        <v>335</v>
      </c>
      <c r="D407" s="7" t="s">
        <v>32</v>
      </c>
      <c r="E407" s="46">
        <v>5472.0</v>
      </c>
      <c r="F407" s="7" t="s">
        <v>851</v>
      </c>
      <c r="G407" s="7" t="s">
        <v>423</v>
      </c>
      <c r="H407" s="37" t="str">
        <f>HYPERLINK("http://www.usrc.it/AppRendiConta/det_196_20190322.pdf","Determinazione USRC n. 196 del 2019.pdf")</f>
        <v>Determinazione USRC n. 196 del 2019.pdf</v>
      </c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>
      <c r="A408" s="7" t="s">
        <v>407</v>
      </c>
      <c r="B408" s="7" t="s">
        <v>750</v>
      </c>
      <c r="C408" s="8" t="s">
        <v>195</v>
      </c>
      <c r="D408" s="7" t="s">
        <v>14</v>
      </c>
      <c r="E408" s="46">
        <v>500.0</v>
      </c>
      <c r="F408" s="7" t="s">
        <v>852</v>
      </c>
      <c r="G408" s="7" t="s">
        <v>16</v>
      </c>
      <c r="H408" s="37" t="str">
        <f>HYPERLINK("http://www.usrc.it/AppRendiConta/det_197_20190322.pdf","Determinazione USRC n. 197 del 2019.pdf")</f>
        <v>Determinazione USRC n. 197 del 2019.pdf</v>
      </c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>
      <c r="A409" s="7" t="s">
        <v>517</v>
      </c>
      <c r="B409" s="7" t="s">
        <v>518</v>
      </c>
      <c r="C409" s="8" t="s">
        <v>69</v>
      </c>
      <c r="D409" s="7" t="s">
        <v>14</v>
      </c>
      <c r="E409" s="46">
        <v>958.84</v>
      </c>
      <c r="F409" s="7" t="s">
        <v>853</v>
      </c>
      <c r="G409" s="7" t="s">
        <v>16</v>
      </c>
      <c r="H409" s="37" t="str">
        <f>HYPERLINK("http://www.usrc.it/AppRendiConta/det_198_20190322.pdf","Determinazione USRC n. 198 del 2019.pdf")</f>
        <v>Determinazione USRC n. 198 del 2019.pdf</v>
      </c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>
      <c r="A410" s="7" t="s">
        <v>616</v>
      </c>
      <c r="B410" s="7" t="s">
        <v>617</v>
      </c>
      <c r="C410" s="8" t="s">
        <v>618</v>
      </c>
      <c r="D410" s="7" t="s">
        <v>32</v>
      </c>
      <c r="E410" s="46">
        <v>1529.88</v>
      </c>
      <c r="F410" s="7" t="s">
        <v>854</v>
      </c>
      <c r="G410" s="7" t="s">
        <v>16</v>
      </c>
      <c r="H410" s="37" t="str">
        <f>HYPERLINK("http://www.usrc.it/AppRendiConta/det_210_20190329.pdf","Determinazione USRC n. 210 del 2019.pdf")</f>
        <v>Determinazione USRC n. 210 del 2019.pdf</v>
      </c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>
      <c r="A411" s="7" t="s">
        <v>855</v>
      </c>
      <c r="B411" s="7" t="s">
        <v>96</v>
      </c>
      <c r="C411" s="8" t="s">
        <v>97</v>
      </c>
      <c r="D411" s="7" t="s">
        <v>32</v>
      </c>
      <c r="E411" s="46">
        <v>823.74</v>
      </c>
      <c r="F411" s="7" t="s">
        <v>856</v>
      </c>
      <c r="G411" s="7" t="s">
        <v>16</v>
      </c>
      <c r="H411" s="37" t="str">
        <f>HYPERLINK("http://www.usrc.it/AppRendiConta/det_211_20190329.pdf","Determinazione USRC n. 211 del 2019.pdf")</f>
        <v>Determinazione USRC n. 211 del 2019.pdf</v>
      </c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>
      <c r="A412" s="7" t="s">
        <v>857</v>
      </c>
      <c r="B412" s="7" t="s">
        <v>750</v>
      </c>
      <c r="C412" s="8" t="s">
        <v>195</v>
      </c>
      <c r="D412" s="7" t="s">
        <v>14</v>
      </c>
      <c r="E412" s="46">
        <v>6500.0</v>
      </c>
      <c r="F412" s="7" t="s">
        <v>858</v>
      </c>
      <c r="G412" s="7" t="s">
        <v>16</v>
      </c>
      <c r="H412" s="37" t="str">
        <f>HYPERLINK("http://www.usrc.it/AppRendiConta/det_217_20190401.pdf","Determinazione USRC n. 217 del 2019.pdf")</f>
        <v>Determinazione USRC n. 217 del 2019.pdf</v>
      </c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>
      <c r="A413" s="7" t="s">
        <v>859</v>
      </c>
      <c r="B413" s="7" t="s">
        <v>860</v>
      </c>
      <c r="C413" s="8" t="s">
        <v>861</v>
      </c>
      <c r="D413" s="7" t="s">
        <v>32</v>
      </c>
      <c r="E413" s="46">
        <v>100.0</v>
      </c>
      <c r="F413" s="7" t="s">
        <v>862</v>
      </c>
      <c r="G413" s="7" t="s">
        <v>16</v>
      </c>
      <c r="H413" s="37" t="str">
        <f>HYPERLINK("http://www.usrc.it/AppRendiConta/det_232_20190411.pdf","Determinazione USRC n. 232 del 2019.pdf")</f>
        <v>Determinazione USRC n. 232 del 2019.pdf</v>
      </c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>
      <c r="A414" s="7" t="s">
        <v>863</v>
      </c>
      <c r="B414" s="7" t="s">
        <v>350</v>
      </c>
      <c r="C414" s="8" t="s">
        <v>298</v>
      </c>
      <c r="D414" s="7" t="s">
        <v>32</v>
      </c>
      <c r="E414" s="46">
        <v>631.61</v>
      </c>
      <c r="F414" s="7" t="s">
        <v>864</v>
      </c>
      <c r="G414" s="7" t="s">
        <v>16</v>
      </c>
      <c r="H414" s="37" t="str">
        <f>HYPERLINK("http://www.usrc.it/AppRendiConta/det_233_20190411.pdf","Determinazione USRC n. 233 del 2019.pdf")</f>
        <v>Determinazione USRC n. 233 del 2019.pdf</v>
      </c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>
      <c r="A415" s="7" t="s">
        <v>814</v>
      </c>
      <c r="B415" s="7" t="s">
        <v>346</v>
      </c>
      <c r="C415" s="8" t="s">
        <v>347</v>
      </c>
      <c r="D415" s="7" t="s">
        <v>14</v>
      </c>
      <c r="E415" s="46">
        <v>57.0</v>
      </c>
      <c r="F415" s="7" t="s">
        <v>865</v>
      </c>
      <c r="G415" s="7" t="s">
        <v>16</v>
      </c>
      <c r="H415" s="37" t="str">
        <f>HYPERLINK("http://www.usrc.it/AppRendiConta/det_234_20190411.pdf","Determinazione USRC n. 234 del 2019.pdf")</f>
        <v>Determinazione USRC n. 234 del 2019.pdf</v>
      </c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>
      <c r="A416" s="7" t="s">
        <v>657</v>
      </c>
      <c r="B416" s="7" t="s">
        <v>702</v>
      </c>
      <c r="C416" s="8" t="s">
        <v>115</v>
      </c>
      <c r="D416" s="7" t="s">
        <v>14</v>
      </c>
      <c r="E416" s="46">
        <v>1050.0</v>
      </c>
      <c r="F416" s="7" t="s">
        <v>866</v>
      </c>
      <c r="G416" s="7" t="s">
        <v>16</v>
      </c>
      <c r="H416" s="37" t="str">
        <f>HYPERLINK("http://www.usrc.it/AppRendiConta/det_244_20190411.pdf","Determinazione USRC n. 244 del 2019.pdf")</f>
        <v>Determinazione USRC n. 244 del 2019.pdf</v>
      </c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>
      <c r="A417" s="7" t="s">
        <v>657</v>
      </c>
      <c r="B417" s="7" t="s">
        <v>702</v>
      </c>
      <c r="C417" s="8" t="s">
        <v>115</v>
      </c>
      <c r="D417" s="7" t="s">
        <v>14</v>
      </c>
      <c r="E417" s="46">
        <v>3800.0</v>
      </c>
      <c r="F417" s="7" t="s">
        <v>867</v>
      </c>
      <c r="G417" s="7" t="s">
        <v>16</v>
      </c>
      <c r="H417" s="37" t="str">
        <f>HYPERLINK("http://www.usrc.it/AppRendiConta/det_245_20190411.pdf","Determinazione USRC n. 245 del 2019.pdf")</f>
        <v>Determinazione USRC n. 245 del 2019.pdf</v>
      </c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>
      <c r="A418" s="7" t="s">
        <v>517</v>
      </c>
      <c r="B418" s="7" t="s">
        <v>518</v>
      </c>
      <c r="C418" s="8" t="s">
        <v>69</v>
      </c>
      <c r="D418" s="7" t="s">
        <v>14</v>
      </c>
      <c r="E418" s="46">
        <v>938.31</v>
      </c>
      <c r="F418" s="7" t="s">
        <v>868</v>
      </c>
      <c r="G418" s="7" t="s">
        <v>419</v>
      </c>
      <c r="H418" s="37" t="str">
        <f>HYPERLINK("http://www.usrc.it/AppRendiConta/det_260_20190418.pdf","Determinazione USRC n. 260 del 2019.pdf")</f>
        <v>Determinazione USRC n. 260 del 2019.pdf</v>
      </c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>
      <c r="A419" s="7" t="s">
        <v>514</v>
      </c>
      <c r="B419" s="7" t="s">
        <v>515</v>
      </c>
      <c r="C419" s="8" t="s">
        <v>69</v>
      </c>
      <c r="D419" s="7" t="s">
        <v>14</v>
      </c>
      <c r="E419" s="46">
        <v>1075.08</v>
      </c>
      <c r="F419" s="7" t="s">
        <v>869</v>
      </c>
      <c r="G419" s="7" t="s">
        <v>419</v>
      </c>
      <c r="H419" s="37" t="str">
        <f>HYPERLINK("http://www.usrc.it/AppRendiConta/det_261_20190418.pdf","Determinazione USRC n. 261 del 2019.pdf")</f>
        <v>Determinazione USRC n. 261 del 2019.pdf</v>
      </c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>
      <c r="A420" s="7" t="s">
        <v>870</v>
      </c>
      <c r="B420" s="7" t="s">
        <v>366</v>
      </c>
      <c r="C420" s="8" t="s">
        <v>367</v>
      </c>
      <c r="D420" s="7" t="s">
        <v>14</v>
      </c>
      <c r="E420" s="46">
        <v>162.93</v>
      </c>
      <c r="F420" s="7" t="s">
        <v>871</v>
      </c>
      <c r="G420" s="7" t="s">
        <v>16</v>
      </c>
      <c r="H420" s="37" t="str">
        <f>HYPERLINK("http://www.usrc.it/AppRendiConta/det_277_20190506.pdf","Determinazione USRC n. 277 del 2019.pdf")</f>
        <v>Determinazione USRC n. 277 del 2019.pdf</v>
      </c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>
      <c r="A421" s="7" t="s">
        <v>857</v>
      </c>
      <c r="B421" s="54" t="s">
        <v>750</v>
      </c>
      <c r="C421" s="8" t="s">
        <v>195</v>
      </c>
      <c r="D421" s="7" t="s">
        <v>14</v>
      </c>
      <c r="E421" s="46">
        <v>1000.0</v>
      </c>
      <c r="F421" s="7" t="s">
        <v>872</v>
      </c>
      <c r="G421" s="7" t="s">
        <v>16</v>
      </c>
      <c r="H421" s="37" t="str">
        <f>HYPERLINK("http://www.usrc.it/AppRendiConta/det_278_20190506.pdf","Determinazione USRC n. 278 del 2019.pdf")</f>
        <v>Determinazione USRC n. 278 del 2019.pdf</v>
      </c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>
      <c r="A422" s="54" t="s">
        <v>873</v>
      </c>
      <c r="B422" s="7" t="s">
        <v>874</v>
      </c>
      <c r="C422" s="8" t="s">
        <v>875</v>
      </c>
      <c r="D422" s="7" t="s">
        <v>14</v>
      </c>
      <c r="E422" s="46">
        <v>120.0</v>
      </c>
      <c r="F422" s="7" t="s">
        <v>876</v>
      </c>
      <c r="G422" s="7" t="s">
        <v>16</v>
      </c>
      <c r="H422" s="37" t="str">
        <f>HYPERLINK("http://www.usrc.it/AppRendiConta/det_279_20190506.pdf","Determinazione USRC n. 279 del 2019.pdf")</f>
        <v>Determinazione USRC n. 279 del 2019.pdf</v>
      </c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>
      <c r="A423" s="7" t="s">
        <v>415</v>
      </c>
      <c r="B423" s="7" t="s">
        <v>530</v>
      </c>
      <c r="C423" s="8" t="s">
        <v>417</v>
      </c>
      <c r="D423" s="7" t="s">
        <v>14</v>
      </c>
      <c r="E423" s="7">
        <v>7670.04</v>
      </c>
      <c r="F423" s="7" t="s">
        <v>877</v>
      </c>
      <c r="G423" s="7" t="s">
        <v>419</v>
      </c>
      <c r="H423" s="37" t="str">
        <f>HYPERLINK("http://www.usrc.it/AppRendiConta/det_280_20190506.pdf","Determinazione USRC n. 280 del 2019.pdf")</f>
        <v>Determinazione USRC n. 280 del 2019.pdf</v>
      </c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>
      <c r="A424" s="7" t="s">
        <v>420</v>
      </c>
      <c r="B424" s="7" t="s">
        <v>530</v>
      </c>
      <c r="C424" s="8" t="s">
        <v>417</v>
      </c>
      <c r="D424" s="7" t="s">
        <v>14</v>
      </c>
      <c r="E424" s="46">
        <v>3348.02</v>
      </c>
      <c r="F424" s="7" t="s">
        <v>878</v>
      </c>
      <c r="G424" s="7" t="s">
        <v>419</v>
      </c>
      <c r="H424" s="37" t="str">
        <f>HYPERLINK("http://www.usrc.it/AppRendiConta/det_281_20190506.pdf","Determinazione USRC n. 281 del 2019.pdf")</f>
        <v>Determinazione USRC n. 281 del 2019.pdf</v>
      </c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>
      <c r="A425" s="7" t="s">
        <v>879</v>
      </c>
      <c r="B425" s="7" t="s">
        <v>402</v>
      </c>
      <c r="C425" s="8" t="s">
        <v>81</v>
      </c>
      <c r="D425" s="7" t="s">
        <v>32</v>
      </c>
      <c r="E425" s="7">
        <v>276.69</v>
      </c>
      <c r="F425" s="7" t="s">
        <v>880</v>
      </c>
      <c r="G425" s="7" t="s">
        <v>16</v>
      </c>
      <c r="H425" s="37" t="str">
        <f>HYPERLINK("http://www.usrc.it/AppRendiConta/det_296_20190516.pdf","Determinazione USRC n. 296 del 2019.pdf")</f>
        <v>Determinazione USRC n. 296 del 2019.pdf</v>
      </c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>
      <c r="A426" s="7" t="s">
        <v>881</v>
      </c>
      <c r="B426" s="7" t="s">
        <v>882</v>
      </c>
      <c r="C426" s="8" t="s">
        <v>883</v>
      </c>
      <c r="D426" s="7" t="s">
        <v>32</v>
      </c>
      <c r="E426" s="7">
        <v>444.0</v>
      </c>
      <c r="F426" s="7" t="s">
        <v>884</v>
      </c>
      <c r="G426" s="7" t="s">
        <v>16</v>
      </c>
      <c r="H426" s="37" t="str">
        <f>HYPERLINK("http://www.usrc.it/AppRendiConta/det_297_20190516.pdf","Determinazione USRC n. 297 del 2019.pdf")</f>
        <v>Determinazione USRC n. 297 del 2019.pdf</v>
      </c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>
      <c r="A427" s="7" t="s">
        <v>616</v>
      </c>
      <c r="B427" s="7" t="s">
        <v>617</v>
      </c>
      <c r="C427" s="8" t="s">
        <v>618</v>
      </c>
      <c r="D427" s="7" t="s">
        <v>32</v>
      </c>
      <c r="E427" s="46">
        <v>1529.88</v>
      </c>
      <c r="F427" s="7" t="s">
        <v>885</v>
      </c>
      <c r="G427" s="7" t="s">
        <v>16</v>
      </c>
      <c r="H427" s="37" t="str">
        <f>HYPERLINK("http://www.usrc.it/AppRendiConta/det_310_20190522.pdf","Determinazione USRC n. 310 del 2019.pdf")</f>
        <v>Determinazione USRC n. 310 del 2019.pdf</v>
      </c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>
      <c r="A428" s="7" t="s">
        <v>886</v>
      </c>
      <c r="B428" s="7" t="s">
        <v>460</v>
      </c>
      <c r="C428" s="8" t="s">
        <v>575</v>
      </c>
      <c r="D428" s="7" t="s">
        <v>32</v>
      </c>
      <c r="E428" s="46">
        <v>30.35</v>
      </c>
      <c r="F428" s="7" t="s">
        <v>887</v>
      </c>
      <c r="G428" s="7" t="s">
        <v>16</v>
      </c>
      <c r="H428" s="37" t="str">
        <f>HYPERLINK("http://www.usrc.it/AppRendiConta/det_311_20190522.pdf","Determinazione USRC n. 311 del 2019.pdf")</f>
        <v>Determinazione USRC n. 311 del 2019.pdf</v>
      </c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>
      <c r="A429" s="7" t="s">
        <v>888</v>
      </c>
      <c r="B429" s="7" t="s">
        <v>460</v>
      </c>
      <c r="C429" s="8" t="s">
        <v>575</v>
      </c>
      <c r="D429" s="7" t="s">
        <v>32</v>
      </c>
      <c r="E429" s="46">
        <v>14.01</v>
      </c>
      <c r="F429" s="7" t="s">
        <v>889</v>
      </c>
      <c r="G429" s="7" t="s">
        <v>16</v>
      </c>
      <c r="H429" s="37" t="str">
        <f>HYPERLINK("http://www.usrc.it/AppRendiConta/det_312_20190522.pdf","Determinazione USRC n. 312 del 2019.pdf")</f>
        <v>Determinazione USRC n. 312 del 2019.pdf</v>
      </c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>
      <c r="A430" s="7" t="s">
        <v>692</v>
      </c>
      <c r="B430" s="7" t="s">
        <v>693</v>
      </c>
      <c r="C430" s="8" t="s">
        <v>694</v>
      </c>
      <c r="D430" s="7" t="s">
        <v>14</v>
      </c>
      <c r="E430" s="46">
        <v>1050.0</v>
      </c>
      <c r="F430" s="7" t="s">
        <v>890</v>
      </c>
      <c r="G430" s="7" t="s">
        <v>16</v>
      </c>
      <c r="H430" s="37" t="str">
        <f>HYPERLINK("http://www.usrc.it/AppRendiConta/det_313_20190522.pdf","Determinazione USRC n. 313 del 2019.pdf")</f>
        <v>Determinazione USRC n. 313 del 2019.pdf</v>
      </c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>
      <c r="A431" s="7" t="s">
        <v>891</v>
      </c>
      <c r="B431" s="7" t="s">
        <v>892</v>
      </c>
      <c r="C431" s="8" t="s">
        <v>893</v>
      </c>
      <c r="D431" s="7" t="s">
        <v>32</v>
      </c>
      <c r="E431" s="46">
        <v>1185.4</v>
      </c>
      <c r="F431" s="7" t="s">
        <v>894</v>
      </c>
      <c r="G431" s="7" t="s">
        <v>16</v>
      </c>
      <c r="H431" s="37" t="str">
        <f>HYPERLINK("http://www.usrc.it/AppRendiConta/det_314_20190522.pdf","Determinazione USRC n. 314 del 2019.pdf")</f>
        <v>Determinazione USRC n. 314 del 2019.pdf</v>
      </c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>
      <c r="A432" s="7" t="s">
        <v>700</v>
      </c>
      <c r="B432" s="7" t="s">
        <v>512</v>
      </c>
      <c r="C432" s="8" t="s">
        <v>45</v>
      </c>
      <c r="D432" s="7" t="s">
        <v>14</v>
      </c>
      <c r="E432" s="46">
        <v>4075.74</v>
      </c>
      <c r="F432" s="7" t="s">
        <v>895</v>
      </c>
      <c r="G432" s="7" t="s">
        <v>423</v>
      </c>
      <c r="H432" s="37" t="str">
        <f>HYPERLINK("http://www.usrc.it/AppRendiConta/det_349_201900603.pdf","Determinazione USRC n. 349 del 2019.pdf")</f>
        <v>Determinazione USRC n. 349 del 2019.pdf</v>
      </c>
      <c r="I432" s="58"/>
      <c r="J432" s="58"/>
      <c r="K432" s="58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>
      <c r="A433" s="54" t="s">
        <v>879</v>
      </c>
      <c r="B433" s="7" t="s">
        <v>402</v>
      </c>
      <c r="C433" s="8" t="s">
        <v>81</v>
      </c>
      <c r="D433" s="7" t="s">
        <v>32</v>
      </c>
      <c r="E433" s="46">
        <v>128.6</v>
      </c>
      <c r="F433" s="7" t="s">
        <v>896</v>
      </c>
      <c r="G433" s="7" t="s">
        <v>16</v>
      </c>
      <c r="H433" s="37" t="str">
        <f>HYPERLINK("http://www.usrc.it/AppRendiConta/det_350_20190603.pdf","Determinazione USRC n. 350 del 2019.pdf")</f>
        <v>Determinazione USRC n. 350 del 2019.pdf</v>
      </c>
      <c r="I433" s="58"/>
      <c r="J433" s="58"/>
      <c r="K433" s="58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>
      <c r="A434" s="54" t="s">
        <v>897</v>
      </c>
      <c r="B434" s="7" t="s">
        <v>346</v>
      </c>
      <c r="C434" s="8" t="s">
        <v>347</v>
      </c>
      <c r="D434" s="7" t="s">
        <v>14</v>
      </c>
      <c r="E434" s="46">
        <v>189.0</v>
      </c>
      <c r="F434" s="7" t="s">
        <v>898</v>
      </c>
      <c r="G434" s="7" t="s">
        <v>16</v>
      </c>
      <c r="H434" s="37" t="str">
        <f>HYPERLINK("http://www.usrc.it/AppRendiConta/det_351_20190603.pdf","Determinazione USRC n. 351 del 2019.pdf")</f>
        <v>Determinazione USRC n. 351 del 2019.pdf</v>
      </c>
      <c r="I434" s="58"/>
      <c r="J434" s="58"/>
      <c r="K434" s="58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>
      <c r="A435" s="7" t="s">
        <v>857</v>
      </c>
      <c r="B435" s="54" t="s">
        <v>750</v>
      </c>
      <c r="C435" s="8" t="s">
        <v>195</v>
      </c>
      <c r="D435" s="7" t="s">
        <v>14</v>
      </c>
      <c r="E435" s="46">
        <v>500.0</v>
      </c>
      <c r="F435" s="7" t="s">
        <v>899</v>
      </c>
      <c r="G435" s="7" t="s">
        <v>16</v>
      </c>
      <c r="H435" s="37" t="str">
        <f>HYPERLINK("http://www.usrc.it/AppRendiConta/det_352_201900603.pdf","Determinazione USRC n. 352 del 2019.pdf")</f>
        <v>Determinazione USRC n. 352 del 2019.pdf</v>
      </c>
      <c r="I435" s="58"/>
      <c r="J435" s="58"/>
      <c r="K435" s="58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>
      <c r="A436" s="7" t="s">
        <v>514</v>
      </c>
      <c r="B436" s="7" t="s">
        <v>900</v>
      </c>
      <c r="C436" s="8" t="s">
        <v>69</v>
      </c>
      <c r="D436" s="7" t="s">
        <v>14</v>
      </c>
      <c r="E436" s="46">
        <v>136.53</v>
      </c>
      <c r="F436" s="7" t="s">
        <v>901</v>
      </c>
      <c r="G436" s="7" t="s">
        <v>16</v>
      </c>
      <c r="H436" s="37" t="str">
        <f>HYPERLINK("http://www.usrc.it/AppRendiConta/det_363_201900611.pdf","Determinazione USRC n. 363 del 2019.pdf")</f>
        <v>Determinazione USRC n. 363 del 2019.pdf</v>
      </c>
      <c r="I436" s="58"/>
      <c r="J436" s="58"/>
      <c r="K436" s="58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>
      <c r="A437" s="7" t="s">
        <v>517</v>
      </c>
      <c r="B437" s="7" t="s">
        <v>518</v>
      </c>
      <c r="C437" s="8" t="s">
        <v>69</v>
      </c>
      <c r="D437" s="7" t="s">
        <v>14</v>
      </c>
      <c r="E437" s="46">
        <v>979.88</v>
      </c>
      <c r="F437" s="9" t="s">
        <v>902</v>
      </c>
      <c r="G437" s="7" t="s">
        <v>419</v>
      </c>
      <c r="H437" s="59" t="str">
        <f>HYPERLINK("http://www.usrc.it/AppRendiConta/det_373_20190614.pdf","Determinazione USRC n.373 del 2019.pdf")</f>
        <v>Determinazione USRC n.373 del 2019.pdf</v>
      </c>
      <c r="I437" s="7"/>
      <c r="J437" s="7"/>
      <c r="K437" s="8"/>
      <c r="L437" s="7"/>
      <c r="M437" s="46"/>
      <c r="N437" s="7"/>
      <c r="O437" s="7"/>
      <c r="P437" s="60"/>
      <c r="Q437" s="13"/>
      <c r="R437" s="13"/>
      <c r="S437" s="13"/>
      <c r="T437" s="13"/>
      <c r="U437" s="13"/>
      <c r="V437" s="13"/>
    </row>
    <row r="438">
      <c r="A438" s="7" t="s">
        <v>514</v>
      </c>
      <c r="B438" s="7" t="s">
        <v>515</v>
      </c>
      <c r="C438" s="8" t="s">
        <v>69</v>
      </c>
      <c r="D438" s="7" t="s">
        <v>14</v>
      </c>
      <c r="E438" s="46">
        <v>940.52</v>
      </c>
      <c r="F438" s="9" t="s">
        <v>903</v>
      </c>
      <c r="G438" s="7" t="s">
        <v>419</v>
      </c>
      <c r="H438" s="59" t="str">
        <f>HYPERLINK("http://www.usrc.it/AppRendiConta/det_374_20190614.pdf","Determinazione USRC n.374 del 2019.pdf")</f>
        <v>Determinazione USRC n.374 del 2019.pdf</v>
      </c>
      <c r="I438" s="7"/>
      <c r="J438" s="7"/>
      <c r="K438" s="8"/>
      <c r="L438" s="7"/>
      <c r="M438" s="46"/>
      <c r="N438" s="7"/>
      <c r="O438" s="7"/>
      <c r="P438" s="60"/>
      <c r="Q438" s="13"/>
      <c r="R438" s="13"/>
      <c r="S438" s="13"/>
      <c r="T438" s="13"/>
      <c r="U438" s="13"/>
      <c r="V438" s="13"/>
    </row>
    <row r="439">
      <c r="A439" s="7" t="s">
        <v>904</v>
      </c>
      <c r="B439" s="7" t="s">
        <v>905</v>
      </c>
      <c r="C439" s="8" t="s">
        <v>906</v>
      </c>
      <c r="D439" s="7" t="s">
        <v>32</v>
      </c>
      <c r="E439" s="46">
        <v>703.4</v>
      </c>
      <c r="F439" s="9" t="s">
        <v>907</v>
      </c>
      <c r="G439" s="7" t="s">
        <v>16</v>
      </c>
      <c r="H439" s="59" t="str">
        <f>HYPERLINK("http://www.usrc.it/AppRendiConta/det_375_20190614.pdf","Determinazione USRC n.375 del 2019.pdf")</f>
        <v>Determinazione USRC n.375 del 2019.pdf</v>
      </c>
      <c r="I439" s="7"/>
      <c r="J439" s="7"/>
      <c r="K439" s="8"/>
      <c r="L439" s="7"/>
      <c r="M439" s="46"/>
      <c r="N439" s="7"/>
      <c r="O439" s="7"/>
      <c r="P439" s="60"/>
      <c r="Q439" s="13"/>
      <c r="R439" s="13"/>
      <c r="S439" s="13"/>
      <c r="T439" s="13"/>
      <c r="U439" s="13"/>
      <c r="V439" s="13"/>
    </row>
    <row r="440">
      <c r="A440" s="7" t="s">
        <v>855</v>
      </c>
      <c r="B440" s="7" t="s">
        <v>96</v>
      </c>
      <c r="C440" s="8" t="s">
        <v>97</v>
      </c>
      <c r="D440" s="7" t="s">
        <v>32</v>
      </c>
      <c r="E440" s="46">
        <v>1563.86</v>
      </c>
      <c r="F440" s="9" t="s">
        <v>908</v>
      </c>
      <c r="G440" s="7" t="s">
        <v>16</v>
      </c>
      <c r="H440" s="59" t="str">
        <f>HYPERLINK("http://www.usrc.it/AppRendiConta/det_419_20190702.pdf","Determinazione USRC n. 419 del 2019.pdf")</f>
        <v>Determinazione USRC n. 419 del 2019.pdf</v>
      </c>
      <c r="I440" s="7"/>
      <c r="J440" s="7"/>
      <c r="K440" s="8"/>
      <c r="L440" s="7"/>
      <c r="M440" s="46"/>
      <c r="N440" s="7"/>
      <c r="O440" s="7"/>
      <c r="P440" s="60"/>
      <c r="Q440" s="13"/>
      <c r="R440" s="13"/>
      <c r="S440" s="13"/>
      <c r="T440" s="13"/>
      <c r="U440" s="13"/>
      <c r="V440" s="13"/>
    </row>
    <row r="441">
      <c r="A441" s="7" t="s">
        <v>797</v>
      </c>
      <c r="B441" s="7" t="s">
        <v>402</v>
      </c>
      <c r="C441" s="8" t="s">
        <v>81</v>
      </c>
      <c r="D441" s="7" t="s">
        <v>32</v>
      </c>
      <c r="E441" s="46">
        <v>98.91</v>
      </c>
      <c r="F441" s="9" t="s">
        <v>909</v>
      </c>
      <c r="G441" s="7" t="s">
        <v>16</v>
      </c>
      <c r="H441" s="59" t="str">
        <f>HYPERLINK("http://www.usrc.it/AppRendiConta/det_420_20190702.pdf","Determinazione USRC n.420 del 2019.pdf")</f>
        <v>Determinazione USRC n.420 del 2019.pdf</v>
      </c>
      <c r="I441" s="7"/>
      <c r="J441" s="7"/>
      <c r="K441" s="8"/>
      <c r="L441" s="7"/>
      <c r="M441" s="46"/>
      <c r="N441" s="7"/>
      <c r="O441" s="7"/>
      <c r="P441" s="60"/>
      <c r="Q441" s="13"/>
      <c r="R441" s="13"/>
      <c r="S441" s="13"/>
      <c r="T441" s="13"/>
      <c r="U441" s="13"/>
      <c r="V441" s="13"/>
    </row>
    <row r="442">
      <c r="A442" s="7" t="s">
        <v>910</v>
      </c>
      <c r="B442" s="7" t="s">
        <v>402</v>
      </c>
      <c r="C442" s="8" t="s">
        <v>81</v>
      </c>
      <c r="D442" s="7" t="s">
        <v>32</v>
      </c>
      <c r="E442" s="46">
        <v>154.34</v>
      </c>
      <c r="F442" s="9" t="s">
        <v>911</v>
      </c>
      <c r="G442" s="7" t="s">
        <v>16</v>
      </c>
      <c r="H442" s="59" t="str">
        <f>HYPERLINK("http://www.usrc.it/AppRendiConta/det_421_20190702.pdf","Determinazione USRC n.421 del 2019.pdf")</f>
        <v>Determinazione USRC n.421 del 2019.pdf</v>
      </c>
      <c r="I442" s="7"/>
      <c r="J442" s="7"/>
      <c r="K442" s="8"/>
      <c r="L442" s="7"/>
      <c r="M442" s="46"/>
      <c r="N442" s="7"/>
      <c r="O442" s="7"/>
      <c r="P442" s="60"/>
      <c r="Q442" s="13"/>
      <c r="R442" s="13"/>
      <c r="S442" s="13"/>
      <c r="T442" s="13"/>
      <c r="U442" s="13"/>
      <c r="V442" s="13"/>
    </row>
    <row r="443">
      <c r="A443" s="7" t="s">
        <v>870</v>
      </c>
      <c r="B443" s="7" t="s">
        <v>366</v>
      </c>
      <c r="C443" s="8" t="s">
        <v>367</v>
      </c>
      <c r="D443" s="7" t="s">
        <v>14</v>
      </c>
      <c r="E443" s="46">
        <v>106.36</v>
      </c>
      <c r="F443" s="9" t="s">
        <v>912</v>
      </c>
      <c r="G443" s="7" t="s">
        <v>16</v>
      </c>
      <c r="H443" s="59" t="str">
        <f>HYPERLINK("http://www.usrc.it/AppRendiConta/det_422_20190702.pdf","Determinazione USRC n.422 del 2019.pdf")</f>
        <v>Determinazione USRC n.422 del 2019.pdf</v>
      </c>
      <c r="I443" s="7"/>
      <c r="J443" s="7"/>
      <c r="K443" s="8"/>
      <c r="L443" s="7"/>
      <c r="M443" s="46"/>
      <c r="N443" s="7"/>
      <c r="O443" s="7"/>
      <c r="P443" s="60"/>
      <c r="Q443" s="13"/>
      <c r="R443" s="13"/>
      <c r="S443" s="13"/>
      <c r="T443" s="13"/>
      <c r="U443" s="13"/>
      <c r="V443" s="13"/>
    </row>
    <row r="444">
      <c r="A444" s="7" t="s">
        <v>857</v>
      </c>
      <c r="B444" s="7" t="s">
        <v>750</v>
      </c>
      <c r="C444" s="8" t="s">
        <v>195</v>
      </c>
      <c r="D444" s="7" t="s">
        <v>14</v>
      </c>
      <c r="E444" s="46">
        <v>500.0</v>
      </c>
      <c r="F444" s="9" t="s">
        <v>913</v>
      </c>
      <c r="G444" s="7" t="s">
        <v>16</v>
      </c>
      <c r="H444" s="59" t="str">
        <f>HYPERLINK("http://www.usrc.it/AppRendiConta/det_423_20190702.pdf","Determinazione USRC n.423 del 2019.pdf")</f>
        <v>Determinazione USRC n.423 del 2019.pdf</v>
      </c>
      <c r="I444" s="7"/>
      <c r="J444" s="7"/>
      <c r="K444" s="8"/>
      <c r="L444" s="7"/>
      <c r="M444" s="46"/>
      <c r="N444" s="7"/>
      <c r="O444" s="7"/>
      <c r="P444" s="60"/>
      <c r="Q444" s="13"/>
      <c r="R444" s="13"/>
      <c r="S444" s="13"/>
      <c r="T444" s="13"/>
      <c r="U444" s="13"/>
      <c r="V444" s="13"/>
    </row>
    <row r="445">
      <c r="A445" s="7" t="s">
        <v>415</v>
      </c>
      <c r="B445" s="7" t="s">
        <v>530</v>
      </c>
      <c r="C445" s="8" t="s">
        <v>417</v>
      </c>
      <c r="D445" s="7" t="s">
        <v>14</v>
      </c>
      <c r="E445" s="7">
        <v>3143.46</v>
      </c>
      <c r="F445" s="9" t="s">
        <v>914</v>
      </c>
      <c r="G445" s="7" t="s">
        <v>16</v>
      </c>
      <c r="H445" s="59" t="str">
        <f>HYPERLINK("http://www.usrc.it/AppRendiConta/det_424_20190702.pdf","Determinazione USRC n.424 del 2019.pdf")</f>
        <v>Determinazione USRC n.424 del 2019.pdf</v>
      </c>
      <c r="I445" s="7"/>
      <c r="J445" s="7"/>
      <c r="K445" s="8"/>
      <c r="L445" s="7"/>
      <c r="M445" s="46"/>
      <c r="N445" s="7"/>
      <c r="O445" s="7"/>
      <c r="P445" s="60"/>
      <c r="Q445" s="13"/>
      <c r="R445" s="13"/>
      <c r="S445" s="13"/>
      <c r="T445" s="13"/>
      <c r="U445" s="13"/>
      <c r="V445" s="13"/>
    </row>
    <row r="446">
      <c r="A446" s="7" t="s">
        <v>420</v>
      </c>
      <c r="B446" s="7" t="s">
        <v>530</v>
      </c>
      <c r="C446" s="8" t="s">
        <v>417</v>
      </c>
      <c r="D446" s="7" t="s">
        <v>14</v>
      </c>
      <c r="E446" s="46">
        <v>1372.14</v>
      </c>
      <c r="F446" s="9" t="s">
        <v>915</v>
      </c>
      <c r="G446" s="7" t="s">
        <v>423</v>
      </c>
      <c r="H446" s="59" t="str">
        <f>HYPERLINK("http://www.usrc.it/AppRendiConta/det_425_20190702.pdf","Determinazione USRC n.425 del 2019.pdf")</f>
        <v>Determinazione USRC n.425 del 2019.pdf</v>
      </c>
      <c r="I446" s="7"/>
      <c r="J446" s="7"/>
      <c r="K446" s="8"/>
      <c r="L446" s="7"/>
      <c r="M446" s="46"/>
      <c r="N446" s="7"/>
      <c r="O446" s="7"/>
      <c r="P446" s="60"/>
      <c r="Q446" s="13"/>
      <c r="R446" s="13"/>
      <c r="S446" s="13"/>
      <c r="T446" s="13"/>
      <c r="U446" s="13"/>
      <c r="V446" s="13"/>
    </row>
    <row r="447">
      <c r="A447" s="7" t="s">
        <v>916</v>
      </c>
      <c r="B447" s="7" t="s">
        <v>917</v>
      </c>
      <c r="C447" s="8" t="s">
        <v>918</v>
      </c>
      <c r="D447" s="7" t="s">
        <v>32</v>
      </c>
      <c r="E447" s="46">
        <v>758.88</v>
      </c>
      <c r="F447" s="7" t="s">
        <v>919</v>
      </c>
      <c r="G447" s="7" t="s">
        <v>16</v>
      </c>
      <c r="H447" s="59" t="str">
        <f>HYPERLINK("http://www.usrc.it/AppRendiConta/det_439_20190716.pdf","Determinazione USRC n.439 del 2019.pdf")</f>
        <v>Determinazione USRC n.439 del 2019.pdf</v>
      </c>
      <c r="I447" s="7"/>
      <c r="J447" s="7"/>
      <c r="K447" s="8"/>
      <c r="L447" s="7"/>
      <c r="M447" s="46"/>
      <c r="N447" s="7"/>
      <c r="O447" s="7"/>
      <c r="P447" s="60"/>
      <c r="Q447" s="13"/>
      <c r="R447" s="13"/>
      <c r="S447" s="13"/>
      <c r="T447" s="13"/>
      <c r="U447" s="13"/>
      <c r="V447" s="13"/>
    </row>
    <row r="448">
      <c r="A448" s="54" t="s">
        <v>616</v>
      </c>
      <c r="B448" s="7" t="s">
        <v>617</v>
      </c>
      <c r="C448" s="8" t="s">
        <v>618</v>
      </c>
      <c r="D448" s="7" t="s">
        <v>32</v>
      </c>
      <c r="E448" s="46">
        <v>1529.88</v>
      </c>
      <c r="F448" s="7" t="s">
        <v>920</v>
      </c>
      <c r="G448" s="7" t="s">
        <v>16</v>
      </c>
      <c r="H448" s="59" t="str">
        <f>HYPERLINK("http://www.usrc.it/AppRendiConta/det_440_20190716.pdf","Determinazione USRC n.440 del 2019.pdf")</f>
        <v>Determinazione USRC n.440 del 2019.pdf</v>
      </c>
      <c r="I448" s="7"/>
      <c r="J448" s="7"/>
      <c r="K448" s="8"/>
      <c r="L448" s="7"/>
      <c r="M448" s="46"/>
      <c r="N448" s="7"/>
      <c r="O448" s="7"/>
      <c r="P448" s="60"/>
      <c r="Q448" s="13"/>
      <c r="R448" s="13"/>
      <c r="S448" s="13"/>
      <c r="T448" s="13"/>
      <c r="U448" s="13"/>
      <c r="V448" s="13"/>
    </row>
    <row r="449">
      <c r="A449" s="7" t="s">
        <v>921</v>
      </c>
      <c r="B449" s="7" t="s">
        <v>91</v>
      </c>
      <c r="C449" s="8" t="s">
        <v>92</v>
      </c>
      <c r="D449" s="7" t="s">
        <v>14</v>
      </c>
      <c r="E449" s="46">
        <v>10368.0</v>
      </c>
      <c r="F449" s="7" t="s">
        <v>922</v>
      </c>
      <c r="G449" s="7" t="s">
        <v>16</v>
      </c>
      <c r="H449" s="59" t="str">
        <f>HYPERLINK("http://www.usrc.it/AppRendiConta/det_459_20190729.pdf","Determinazione USRC n.459 del 2019.pdf")</f>
        <v>Determinazione USRC n.459 del 2019.pdf</v>
      </c>
      <c r="I449" s="7"/>
      <c r="J449" s="7"/>
      <c r="K449" s="8"/>
      <c r="L449" s="7"/>
      <c r="M449" s="46"/>
      <c r="N449" s="7"/>
      <c r="O449" s="7"/>
      <c r="P449" s="60"/>
      <c r="Q449" s="13"/>
      <c r="R449" s="13"/>
      <c r="S449" s="13"/>
      <c r="T449" s="13"/>
      <c r="U449" s="13"/>
      <c r="V449" s="13"/>
    </row>
    <row r="450">
      <c r="A450" s="7" t="s">
        <v>657</v>
      </c>
      <c r="B450" s="7" t="s">
        <v>702</v>
      </c>
      <c r="C450" s="8" t="s">
        <v>115</v>
      </c>
      <c r="D450" s="7" t="s">
        <v>14</v>
      </c>
      <c r="E450" s="46">
        <v>1242.0</v>
      </c>
      <c r="F450" s="7" t="s">
        <v>923</v>
      </c>
      <c r="G450" s="7" t="s">
        <v>16</v>
      </c>
      <c r="H450" s="59" t="str">
        <f>HYPERLINK("http://www.usrc.it/AppRendiConta/det_461_20190729.pdf","Determinazione USRC n.461 del 2019.pdf")</f>
        <v>Determinazione USRC n.461 del 2019.pdf</v>
      </c>
      <c r="I450" s="7"/>
      <c r="J450" s="7"/>
      <c r="K450" s="8"/>
      <c r="L450" s="7"/>
      <c r="M450" s="46"/>
      <c r="N450" s="7"/>
      <c r="O450" s="7"/>
      <c r="P450" s="60"/>
      <c r="Q450" s="13"/>
      <c r="R450" s="13"/>
      <c r="S450" s="13"/>
      <c r="T450" s="13"/>
      <c r="U450" s="13"/>
      <c r="V450" s="13"/>
    </row>
    <row r="451">
      <c r="A451" s="54" t="s">
        <v>924</v>
      </c>
      <c r="B451" s="7" t="s">
        <v>370</v>
      </c>
      <c r="C451" s="8" t="s">
        <v>371</v>
      </c>
      <c r="D451" s="7" t="s">
        <v>14</v>
      </c>
      <c r="E451" s="46">
        <v>400.0</v>
      </c>
      <c r="F451" s="7" t="s">
        <v>925</v>
      </c>
      <c r="G451" s="7" t="s">
        <v>16</v>
      </c>
      <c r="H451" s="59" t="str">
        <f>HYPERLINK("http://www.usrc.it/AppRendiConta/det_462_20190729.pdf","Determinazione USRC n.462 del 2019.pdf")</f>
        <v>Determinazione USRC n.462 del 2019.pdf</v>
      </c>
      <c r="I451" s="7"/>
      <c r="J451" s="7"/>
      <c r="K451" s="8"/>
      <c r="L451" s="7"/>
      <c r="M451" s="46"/>
      <c r="N451" s="7"/>
      <c r="O451" s="7"/>
      <c r="P451" s="60"/>
      <c r="Q451" s="13"/>
      <c r="R451" s="13"/>
      <c r="S451" s="13"/>
      <c r="T451" s="13"/>
      <c r="U451" s="13"/>
      <c r="V451" s="13"/>
    </row>
    <row r="452">
      <c r="A452" s="7" t="s">
        <v>897</v>
      </c>
      <c r="B452" s="7" t="s">
        <v>346</v>
      </c>
      <c r="C452" s="8" t="s">
        <v>347</v>
      </c>
      <c r="D452" s="7" t="s">
        <v>14</v>
      </c>
      <c r="E452" s="46">
        <v>186.95</v>
      </c>
      <c r="F452" s="7" t="s">
        <v>925</v>
      </c>
      <c r="G452" s="7" t="s">
        <v>16</v>
      </c>
      <c r="H452" s="59" t="str">
        <f>HYPERLINK("http://www.usrc.it/AppRendiConta/det_471_20190731.pdf","Determinazione USRC n.471 del 2019.pdf")</f>
        <v>Determinazione USRC n.471 del 2019.pdf</v>
      </c>
      <c r="I452" s="7"/>
      <c r="J452" s="7"/>
      <c r="K452" s="8"/>
      <c r="L452" s="7"/>
      <c r="M452" s="46"/>
      <c r="N452" s="7"/>
      <c r="O452" s="7"/>
      <c r="P452" s="60"/>
      <c r="Q452" s="13"/>
      <c r="R452" s="13"/>
      <c r="S452" s="13"/>
      <c r="T452" s="13"/>
      <c r="U452" s="13"/>
      <c r="V452" s="13"/>
    </row>
    <row r="453">
      <c r="A453" s="7" t="s">
        <v>910</v>
      </c>
      <c r="B453" s="7" t="s">
        <v>402</v>
      </c>
      <c r="C453" s="8" t="s">
        <v>81</v>
      </c>
      <c r="D453" s="7" t="s">
        <v>32</v>
      </c>
      <c r="E453" s="46">
        <v>184.94</v>
      </c>
      <c r="F453" s="7" t="s">
        <v>925</v>
      </c>
      <c r="G453" s="7" t="s">
        <v>16</v>
      </c>
      <c r="H453" s="59" t="str">
        <f>HYPERLINK("http://www.usrc.it/AppRendiConta/det_472_20190731.pdf","Determinazione USRC n.472 del 2019.pdf")</f>
        <v>Determinazione USRC n.472 del 2019.pdf</v>
      </c>
      <c r="I453" s="7"/>
      <c r="J453" s="7"/>
      <c r="K453" s="8"/>
      <c r="L453" s="7"/>
      <c r="M453" s="46"/>
      <c r="N453" s="7"/>
      <c r="O453" s="7"/>
      <c r="P453" s="60"/>
      <c r="Q453" s="13"/>
      <c r="R453" s="13"/>
      <c r="S453" s="13"/>
      <c r="T453" s="13"/>
      <c r="U453" s="13"/>
      <c r="V453" s="13"/>
    </row>
    <row r="454">
      <c r="A454" s="7" t="s">
        <v>415</v>
      </c>
      <c r="B454" s="7" t="s">
        <v>530</v>
      </c>
      <c r="C454" s="8" t="s">
        <v>417</v>
      </c>
      <c r="D454" s="7" t="s">
        <v>14</v>
      </c>
      <c r="E454" s="46">
        <v>6286.92</v>
      </c>
      <c r="F454" s="7" t="s">
        <v>925</v>
      </c>
      <c r="G454" s="7" t="s">
        <v>16</v>
      </c>
      <c r="H454" s="59" t="str">
        <f>HYPERLINK("http://www.usrc.it/AppRendiConta/det_473_20190731.pdf","Determinazione USRC n.473 del 2019.pdf")</f>
        <v>Determinazione USRC n.473 del 2019.pdf</v>
      </c>
      <c r="I454" s="7"/>
      <c r="J454" s="7"/>
      <c r="K454" s="8"/>
      <c r="L454" s="7"/>
      <c r="M454" s="46"/>
      <c r="N454" s="7"/>
      <c r="O454" s="7"/>
      <c r="P454" s="60"/>
      <c r="Q454" s="13"/>
      <c r="R454" s="13"/>
      <c r="S454" s="13"/>
      <c r="T454" s="13"/>
      <c r="U454" s="13"/>
      <c r="V454" s="13"/>
    </row>
    <row r="455">
      <c r="A455" s="7" t="s">
        <v>415</v>
      </c>
      <c r="B455" s="7" t="s">
        <v>530</v>
      </c>
      <c r="C455" s="8" t="s">
        <v>417</v>
      </c>
      <c r="D455" s="7" t="s">
        <v>14</v>
      </c>
      <c r="E455" s="46">
        <v>2744.28</v>
      </c>
      <c r="F455" s="7" t="s">
        <v>925</v>
      </c>
      <c r="G455" s="7" t="s">
        <v>16</v>
      </c>
      <c r="H455" s="59" t="str">
        <f>HYPERLINK("http://www.usrc.it/AppRendiConta/det_474_20190731.pdf","Determinazione USRC n.474 del 2019.pdf")</f>
        <v>Determinazione USRC n.474 del 2019.pdf</v>
      </c>
      <c r="I455" s="7"/>
      <c r="J455" s="7"/>
      <c r="K455" s="8"/>
      <c r="L455" s="7"/>
      <c r="M455" s="46"/>
      <c r="N455" s="7"/>
      <c r="O455" s="7"/>
      <c r="P455" s="60"/>
      <c r="Q455" s="13"/>
      <c r="R455" s="13"/>
      <c r="S455" s="13"/>
      <c r="T455" s="13"/>
      <c r="U455" s="13"/>
      <c r="V455" s="13"/>
    </row>
    <row r="456">
      <c r="A456" s="7" t="s">
        <v>692</v>
      </c>
      <c r="B456" s="7" t="s">
        <v>693</v>
      </c>
      <c r="C456" s="8" t="s">
        <v>694</v>
      </c>
      <c r="D456" s="7" t="s">
        <v>14</v>
      </c>
      <c r="E456" s="46">
        <v>2100.0</v>
      </c>
      <c r="F456" s="7" t="s">
        <v>925</v>
      </c>
      <c r="G456" s="7" t="s">
        <v>16</v>
      </c>
      <c r="H456" s="59" t="str">
        <f>HYPERLINK("http://www.usrc.it/AppRendiConta/det_475_20190731.pdf","Determinazione USRC n.475 del 2019.pdf")</f>
        <v>Determinazione USRC n.475 del 2019.pdf</v>
      </c>
      <c r="I456" s="7"/>
      <c r="J456" s="7"/>
      <c r="K456" s="8"/>
      <c r="L456" s="7"/>
      <c r="M456" s="46"/>
      <c r="N456" s="7"/>
      <c r="O456" s="7"/>
      <c r="P456" s="60"/>
      <c r="Q456" s="13"/>
      <c r="R456" s="13"/>
      <c r="S456" s="13"/>
      <c r="T456" s="13"/>
      <c r="U456" s="13"/>
      <c r="V456" s="13"/>
    </row>
    <row r="457">
      <c r="A457" s="7" t="s">
        <v>870</v>
      </c>
      <c r="B457" s="7" t="s">
        <v>366</v>
      </c>
      <c r="C457" s="8" t="s">
        <v>367</v>
      </c>
      <c r="D457" s="7" t="s">
        <v>14</v>
      </c>
      <c r="E457" s="46">
        <v>201.45</v>
      </c>
      <c r="F457" s="7" t="s">
        <v>925</v>
      </c>
      <c r="G457" s="7" t="s">
        <v>16</v>
      </c>
      <c r="H457" s="59" t="str">
        <f>HYPERLINK("http://www.usrc.it/AppRendiConta/det_476_20190731.pdf","Determinazione USRC n.476 del 2019.pdf")</f>
        <v>Determinazione USRC n.476 del 2019.pdf</v>
      </c>
      <c r="I457" s="7"/>
      <c r="J457" s="7"/>
      <c r="K457" s="8"/>
      <c r="L457" s="7"/>
      <c r="M457" s="46"/>
      <c r="N457" s="7"/>
      <c r="O457" s="7"/>
      <c r="P457" s="60"/>
      <c r="Q457" s="13"/>
      <c r="R457" s="13"/>
      <c r="S457" s="13"/>
      <c r="T457" s="13"/>
      <c r="U457" s="13"/>
      <c r="V457" s="13"/>
    </row>
    <row r="458">
      <c r="A458" s="7" t="s">
        <v>926</v>
      </c>
      <c r="B458" s="7" t="s">
        <v>927</v>
      </c>
      <c r="C458" s="8" t="s">
        <v>928</v>
      </c>
      <c r="D458" s="7" t="s">
        <v>14</v>
      </c>
      <c r="E458" s="46">
        <v>1523.97</v>
      </c>
      <c r="F458" s="7" t="s">
        <v>929</v>
      </c>
      <c r="G458" s="7" t="s">
        <v>419</v>
      </c>
      <c r="H458" s="59" t="str">
        <f>HYPERLINK("http://www.usrc.it/AppRendiConta/det_493_20190908.pdf","Determinazione USRC n.493 del 2019.pdf")</f>
        <v>Determinazione USRC n.493 del 2019.pdf</v>
      </c>
      <c r="I458" s="7"/>
      <c r="J458" s="7"/>
      <c r="K458" s="8"/>
      <c r="L458" s="7"/>
      <c r="M458" s="46"/>
      <c r="N458" s="7"/>
      <c r="O458" s="7"/>
      <c r="P458" s="60"/>
      <c r="Q458" s="13"/>
      <c r="R458" s="13"/>
      <c r="S458" s="13"/>
      <c r="T458" s="13"/>
      <c r="U458" s="13"/>
      <c r="V458" s="13"/>
    </row>
    <row r="459">
      <c r="A459" s="7" t="s">
        <v>514</v>
      </c>
      <c r="B459" s="7" t="s">
        <v>515</v>
      </c>
      <c r="C459" s="8" t="s">
        <v>69</v>
      </c>
      <c r="D459" s="7" t="s">
        <v>14</v>
      </c>
      <c r="E459" s="46">
        <v>982.34</v>
      </c>
      <c r="F459" s="7" t="s">
        <v>930</v>
      </c>
      <c r="G459" s="7" t="s">
        <v>16</v>
      </c>
      <c r="H459" s="59" t="str">
        <f>HYPERLINK("http://www.usrc.it/AppRendiConta/det_494_20190908.pdf","Determinazione USRC n.494 del 2019.pdf")</f>
        <v>Determinazione USRC n.494 del 2019.pdf</v>
      </c>
      <c r="I459" s="7"/>
      <c r="J459" s="7"/>
      <c r="K459" s="8"/>
      <c r="L459" s="7"/>
      <c r="M459" s="46"/>
      <c r="N459" s="7"/>
      <c r="O459" s="7"/>
      <c r="P459" s="60"/>
      <c r="Q459" s="13"/>
      <c r="R459" s="13"/>
      <c r="S459" s="13"/>
      <c r="T459" s="13"/>
      <c r="U459" s="13"/>
      <c r="V459" s="13"/>
    </row>
    <row r="460">
      <c r="A460" s="7" t="s">
        <v>517</v>
      </c>
      <c r="B460" s="7" t="s">
        <v>518</v>
      </c>
      <c r="C460" s="8" t="s">
        <v>69</v>
      </c>
      <c r="D460" s="7" t="s">
        <v>14</v>
      </c>
      <c r="E460" s="46">
        <v>957.81</v>
      </c>
      <c r="F460" s="7" t="s">
        <v>931</v>
      </c>
      <c r="G460" s="7" t="s">
        <v>419</v>
      </c>
      <c r="H460" s="59" t="str">
        <f>HYPERLINK("http://www.usrc.it/AppRendiConta/det_495_20190908.pdf","Determinazione USRC n.495 del 2019.pdf")</f>
        <v>Determinazione USRC n.495 del 2019.pdf</v>
      </c>
      <c r="I460" s="7"/>
      <c r="J460" s="7"/>
      <c r="K460" s="8"/>
      <c r="L460" s="7"/>
      <c r="M460" s="46"/>
      <c r="N460" s="7"/>
      <c r="O460" s="7"/>
      <c r="P460" s="60"/>
      <c r="Q460" s="13"/>
      <c r="R460" s="13"/>
      <c r="S460" s="13"/>
      <c r="T460" s="13"/>
      <c r="U460" s="13"/>
      <c r="V460" s="13"/>
    </row>
    <row r="461">
      <c r="A461" s="7" t="s">
        <v>857</v>
      </c>
      <c r="B461" s="54" t="s">
        <v>750</v>
      </c>
      <c r="C461" s="8" t="s">
        <v>195</v>
      </c>
      <c r="D461" s="7" t="s">
        <v>14</v>
      </c>
      <c r="E461" s="46">
        <v>1000.0</v>
      </c>
      <c r="F461" s="7" t="s">
        <v>932</v>
      </c>
      <c r="G461" s="7" t="s">
        <v>16</v>
      </c>
      <c r="H461" s="59" t="str">
        <f>HYPERLINK("http://www.usrc.it/AppRendiConta/det_496_20190908.pdf","Determinazione USRC n.496 del 2019.pdf")</f>
        <v>Determinazione USRC n.496 del 2019.pdf</v>
      </c>
      <c r="I461" s="7"/>
      <c r="J461" s="7"/>
      <c r="K461" s="8"/>
      <c r="L461" s="7"/>
      <c r="M461" s="46"/>
      <c r="N461" s="7"/>
      <c r="O461" s="7"/>
      <c r="P461" s="60"/>
      <c r="Q461" s="13"/>
      <c r="R461" s="13"/>
      <c r="S461" s="13"/>
      <c r="T461" s="13"/>
      <c r="U461" s="13"/>
      <c r="V461" s="13"/>
    </row>
    <row r="462">
      <c r="A462" s="7" t="s">
        <v>933</v>
      </c>
      <c r="B462" s="7" t="s">
        <v>892</v>
      </c>
      <c r="C462" s="8" t="s">
        <v>893</v>
      </c>
      <c r="D462" s="7" t="s">
        <v>32</v>
      </c>
      <c r="E462" s="46">
        <v>1239.1</v>
      </c>
      <c r="F462" s="7" t="s">
        <v>934</v>
      </c>
      <c r="G462" s="7" t="s">
        <v>16</v>
      </c>
      <c r="H462" s="59" t="str">
        <f>HYPERLINK("http://www.usrc.it/AppRendiConta/det_511_20190730.pdf","Determinazione USRC n.511 del 2019.pdf")</f>
        <v>Determinazione USRC n.511 del 2019.pdf</v>
      </c>
      <c r="I462" s="7"/>
      <c r="J462" s="7"/>
      <c r="K462" s="8"/>
      <c r="L462" s="7"/>
      <c r="M462" s="46"/>
      <c r="N462" s="7"/>
      <c r="O462" s="7"/>
      <c r="P462" s="60"/>
      <c r="Q462" s="13"/>
      <c r="R462" s="13"/>
      <c r="S462" s="13"/>
      <c r="T462" s="13"/>
      <c r="U462" s="13"/>
      <c r="V462" s="13"/>
    </row>
    <row r="463">
      <c r="A463" s="7" t="s">
        <v>935</v>
      </c>
      <c r="B463" s="7" t="s">
        <v>936</v>
      </c>
      <c r="C463" s="8" t="s">
        <v>937</v>
      </c>
      <c r="D463" s="7" t="s">
        <v>32</v>
      </c>
      <c r="E463" s="46">
        <v>139.86</v>
      </c>
      <c r="F463" s="7" t="s">
        <v>938</v>
      </c>
      <c r="G463" s="7" t="s">
        <v>16</v>
      </c>
      <c r="H463" s="59" t="str">
        <f>HYPERLINK("http://www.usrc.it/AppRendiConta/det_512_20190730.pdf","Determinazione USRC n.512 del 2019.pdf")</f>
        <v>Determinazione USRC n.512 del 2019.pdf</v>
      </c>
      <c r="I463" s="7"/>
      <c r="J463" s="7"/>
      <c r="K463" s="8"/>
      <c r="L463" s="7"/>
      <c r="M463" s="46"/>
      <c r="N463" s="7"/>
      <c r="O463" s="7"/>
      <c r="P463" s="60"/>
      <c r="Q463" s="13"/>
      <c r="R463" s="13"/>
      <c r="S463" s="13"/>
      <c r="T463" s="13"/>
      <c r="U463" s="13"/>
      <c r="V463" s="13"/>
    </row>
    <row r="464">
      <c r="A464" s="7" t="s">
        <v>939</v>
      </c>
      <c r="B464" s="7" t="s">
        <v>940</v>
      </c>
      <c r="C464" s="8" t="s">
        <v>941</v>
      </c>
      <c r="D464" s="7" t="s">
        <v>32</v>
      </c>
      <c r="E464" s="46">
        <v>95.08</v>
      </c>
      <c r="F464" s="7" t="s">
        <v>942</v>
      </c>
      <c r="G464" s="7" t="s">
        <v>16</v>
      </c>
      <c r="H464" s="59" t="str">
        <f>HYPERLINK("http://www.usrc.it/AppRendiConta/det_513_20190730.pdf","Determinazione USRC n.513 del 2019.pdf")</f>
        <v>Determinazione USRC n.513 del 2019.pdf</v>
      </c>
      <c r="I464" s="7"/>
      <c r="J464" s="7"/>
      <c r="K464" s="8"/>
      <c r="L464" s="7"/>
      <c r="M464" s="46"/>
      <c r="N464" s="7"/>
      <c r="O464" s="7"/>
      <c r="P464" s="60"/>
      <c r="Q464" s="13"/>
      <c r="R464" s="13"/>
      <c r="S464" s="13"/>
      <c r="T464" s="13"/>
      <c r="U464" s="13"/>
      <c r="V464" s="13"/>
    </row>
    <row r="465">
      <c r="A465" s="7" t="s">
        <v>939</v>
      </c>
      <c r="B465" s="7" t="s">
        <v>940</v>
      </c>
      <c r="C465" s="8" t="s">
        <v>941</v>
      </c>
      <c r="D465" s="7" t="s">
        <v>32</v>
      </c>
      <c r="E465" s="46">
        <v>47.54</v>
      </c>
      <c r="F465" s="7" t="s">
        <v>943</v>
      </c>
      <c r="G465" s="7" t="s">
        <v>16</v>
      </c>
      <c r="H465" s="59" t="str">
        <f>HYPERLINK("http://www.usrc.it/AppRendiConta/det_514_20190730.pdf","Determinazione USRC n.514 del 2019.pdf")</f>
        <v>Determinazione USRC n.514 del 2019.pdf</v>
      </c>
      <c r="I465" s="7"/>
      <c r="J465" s="7"/>
      <c r="K465" s="8"/>
      <c r="L465" s="7"/>
      <c r="M465" s="46"/>
      <c r="N465" s="7"/>
      <c r="O465" s="7"/>
      <c r="P465" s="60"/>
      <c r="Q465" s="13"/>
      <c r="R465" s="13"/>
      <c r="S465" s="13"/>
      <c r="T465" s="13"/>
      <c r="U465" s="13"/>
      <c r="V465" s="13"/>
    </row>
    <row r="466">
      <c r="A466" s="7" t="s">
        <v>333</v>
      </c>
      <c r="B466" s="7" t="s">
        <v>334</v>
      </c>
      <c r="C466" s="8" t="s">
        <v>335</v>
      </c>
      <c r="D466" s="7" t="s">
        <v>32</v>
      </c>
      <c r="E466" s="46">
        <v>2052.0</v>
      </c>
      <c r="F466" s="7" t="s">
        <v>944</v>
      </c>
      <c r="G466" s="7" t="s">
        <v>423</v>
      </c>
      <c r="H466" s="59" t="str">
        <f>HYPERLINK("http://www.usrc.it/AppRendiConta/det_544_20190918.pdf","Determinazione USRC n.544 del 2019.pdf")</f>
        <v>Determinazione USRC n.544 del 2019.pdf</v>
      </c>
      <c r="I466" s="7"/>
      <c r="J466" s="7"/>
      <c r="K466" s="8"/>
      <c r="L466" s="7"/>
      <c r="M466" s="46"/>
      <c r="N466" s="7"/>
      <c r="O466" s="7"/>
      <c r="P466" s="60"/>
      <c r="Q466" s="13"/>
      <c r="R466" s="13"/>
      <c r="S466" s="13"/>
      <c r="T466" s="13"/>
      <c r="U466" s="13"/>
      <c r="V466" s="13"/>
    </row>
    <row r="467">
      <c r="A467" s="54" t="s">
        <v>945</v>
      </c>
      <c r="B467" s="7" t="s">
        <v>617</v>
      </c>
      <c r="C467" s="8" t="s">
        <v>618</v>
      </c>
      <c r="D467" s="7" t="s">
        <v>32</v>
      </c>
      <c r="E467" s="46">
        <v>1537.38</v>
      </c>
      <c r="F467" s="7" t="s">
        <v>946</v>
      </c>
      <c r="G467" s="7" t="s">
        <v>16</v>
      </c>
      <c r="H467" s="59" t="str">
        <f>HYPERLINK("http://www.usrc.it/AppRendiConta/det_545_20190918.pdf","Determinazione USRC n.545 del 2019.pdf")</f>
        <v>Determinazione USRC n.545 del 2019.pdf</v>
      </c>
      <c r="I467" s="7"/>
      <c r="J467" s="7"/>
      <c r="K467" s="8"/>
      <c r="L467" s="7"/>
      <c r="M467" s="46"/>
      <c r="N467" s="7"/>
      <c r="O467" s="7"/>
      <c r="P467" s="60"/>
      <c r="Q467" s="13"/>
      <c r="R467" s="13"/>
      <c r="S467" s="13"/>
      <c r="T467" s="13"/>
      <c r="U467" s="13"/>
      <c r="V467" s="13"/>
    </row>
    <row r="468">
      <c r="A468" s="7" t="s">
        <v>696</v>
      </c>
      <c r="B468" s="54" t="s">
        <v>947</v>
      </c>
      <c r="C468" s="8" t="s">
        <v>698</v>
      </c>
      <c r="D468" s="7" t="s">
        <v>14</v>
      </c>
      <c r="E468" s="46">
        <v>1319.75</v>
      </c>
      <c r="F468" s="54" t="s">
        <v>948</v>
      </c>
      <c r="G468" s="7" t="s">
        <v>16</v>
      </c>
      <c r="H468" s="59" t="str">
        <f>HYPERLINK("http://www.usrc.it/AppRendiConta/det_560_20190924.pdf","Determinazione USRC n.560 del 2019.pdf")</f>
        <v>Determinazione USRC n.560 del 2019.pdf</v>
      </c>
      <c r="I468" s="7"/>
      <c r="J468" s="7"/>
      <c r="K468" s="8"/>
      <c r="L468" s="7"/>
      <c r="M468" s="46"/>
      <c r="N468" s="7"/>
      <c r="O468" s="7"/>
      <c r="P468" s="60"/>
      <c r="Q468" s="13"/>
      <c r="R468" s="13"/>
      <c r="S468" s="13"/>
      <c r="T468" s="13"/>
      <c r="U468" s="13"/>
      <c r="V468" s="13"/>
    </row>
    <row r="469">
      <c r="A469" s="7" t="s">
        <v>696</v>
      </c>
      <c r="B469" s="54" t="s">
        <v>697</v>
      </c>
      <c r="C469" s="8" t="s">
        <v>698</v>
      </c>
      <c r="D469" s="7" t="s">
        <v>14</v>
      </c>
      <c r="E469" s="46">
        <v>269.05</v>
      </c>
      <c r="F469" s="54" t="s">
        <v>949</v>
      </c>
      <c r="G469" s="7" t="s">
        <v>16</v>
      </c>
      <c r="H469" s="59" t="str">
        <f>HYPERLINK("http://www.usrc.it/AppRendiConta/det_561_20190924.pdf","Determinazione USRC n.561 del 2019.pdf")</f>
        <v>Determinazione USRC n.561 del 2019.pdf</v>
      </c>
      <c r="I469" s="7"/>
      <c r="J469" s="7"/>
      <c r="K469" s="8"/>
      <c r="L469" s="7"/>
      <c r="M469" s="46"/>
      <c r="N469" s="7"/>
      <c r="O469" s="7"/>
      <c r="P469" s="60"/>
      <c r="Q469" s="13"/>
      <c r="R469" s="13"/>
      <c r="S469" s="13"/>
      <c r="T469" s="13"/>
      <c r="U469" s="13"/>
      <c r="V469" s="13"/>
    </row>
    <row r="470">
      <c r="A470" s="54" t="s">
        <v>950</v>
      </c>
      <c r="B470" s="7" t="s">
        <v>346</v>
      </c>
      <c r="C470" s="8" t="s">
        <v>347</v>
      </c>
      <c r="D470" s="7" t="s">
        <v>14</v>
      </c>
      <c r="E470" s="46">
        <v>223.9</v>
      </c>
      <c r="F470" s="54" t="s">
        <v>951</v>
      </c>
      <c r="G470" s="7" t="s">
        <v>16</v>
      </c>
      <c r="H470" s="59" t="str">
        <f>HYPERLINK("http://www.usrc.it/AppRendiConta/det_562_20190924.pdf","Determinazione USRC n.562 del 2019.pdf")</f>
        <v>Determinazione USRC n.562 del 2019.pdf</v>
      </c>
      <c r="I470" s="7"/>
      <c r="J470" s="7"/>
      <c r="K470" s="8"/>
      <c r="L470" s="7"/>
      <c r="M470" s="46"/>
      <c r="N470" s="7"/>
      <c r="O470" s="7"/>
      <c r="P470" s="60"/>
      <c r="Q470" s="13"/>
      <c r="R470" s="13"/>
      <c r="S470" s="13"/>
      <c r="T470" s="13"/>
      <c r="U470" s="13"/>
      <c r="V470" s="13"/>
    </row>
    <row r="471">
      <c r="A471" s="7" t="s">
        <v>696</v>
      </c>
      <c r="B471" s="54" t="s">
        <v>952</v>
      </c>
      <c r="C471" s="8" t="s">
        <v>698</v>
      </c>
      <c r="D471" s="7" t="s">
        <v>14</v>
      </c>
      <c r="E471" s="46">
        <v>942.66</v>
      </c>
      <c r="F471" s="54" t="s">
        <v>953</v>
      </c>
      <c r="G471" s="7" t="s">
        <v>16</v>
      </c>
      <c r="H471" s="59" t="str">
        <f>HYPERLINK("http://www.usrc.it/AppRendiConta/det_588_20191011.pdf","Determinazione USRC n.588 del 2019.pdf")</f>
        <v>Determinazione USRC n.588 del 2019.pdf</v>
      </c>
      <c r="I471" s="7"/>
      <c r="J471" s="7"/>
      <c r="K471" s="8"/>
      <c r="L471" s="7"/>
      <c r="M471" s="46"/>
      <c r="N471" s="7"/>
      <c r="O471" s="7"/>
      <c r="P471" s="60"/>
      <c r="Q471" s="13"/>
      <c r="R471" s="13"/>
      <c r="S471" s="13"/>
      <c r="T471" s="13"/>
      <c r="U471" s="13"/>
      <c r="V471" s="13"/>
    </row>
    <row r="472">
      <c r="A472" s="7" t="s">
        <v>696</v>
      </c>
      <c r="B472" s="54" t="s">
        <v>954</v>
      </c>
      <c r="C472" s="8" t="s">
        <v>698</v>
      </c>
      <c r="D472" s="7" t="s">
        <v>14</v>
      </c>
      <c r="E472" s="46">
        <v>234.45</v>
      </c>
      <c r="F472" s="54" t="s">
        <v>955</v>
      </c>
      <c r="G472" s="7" t="s">
        <v>16</v>
      </c>
      <c r="H472" s="59" t="str">
        <f>HYPERLINK("http://www.usrc.it/AppRendiConta/det_589_20191011.pdf","Determinazione USRC n.589 del 2019.pdf")</f>
        <v>Determinazione USRC n.589 del 2019.pdf</v>
      </c>
      <c r="I472" s="7"/>
      <c r="J472" s="7"/>
      <c r="K472" s="8"/>
      <c r="L472" s="7"/>
      <c r="M472" s="46"/>
      <c r="N472" s="7"/>
      <c r="O472" s="7"/>
      <c r="P472" s="60"/>
      <c r="Q472" s="13"/>
      <c r="R472" s="13"/>
      <c r="S472" s="13"/>
      <c r="T472" s="13"/>
      <c r="U472" s="13"/>
      <c r="V472" s="13"/>
    </row>
    <row r="473">
      <c r="A473" s="7" t="s">
        <v>415</v>
      </c>
      <c r="B473" s="7" t="s">
        <v>530</v>
      </c>
      <c r="C473" s="8" t="s">
        <v>417</v>
      </c>
      <c r="D473" s="7" t="s">
        <v>14</v>
      </c>
      <c r="E473" s="7">
        <v>3143.46</v>
      </c>
      <c r="F473" s="54" t="s">
        <v>956</v>
      </c>
      <c r="G473" s="7" t="s">
        <v>423</v>
      </c>
      <c r="H473" s="59" t="str">
        <f>HYPERLINK("http://www.usrc.it/AppRendiConta/det_590_20191011.pdf","Determinazione USRC n.590 del 2019.pdf")</f>
        <v>Determinazione USRC n.590 del 2019.pdf</v>
      </c>
      <c r="I473" s="60"/>
      <c r="J473" s="7"/>
      <c r="K473" s="8"/>
      <c r="L473" s="7"/>
      <c r="M473" s="46"/>
      <c r="N473" s="7"/>
      <c r="O473" s="7"/>
      <c r="P473" s="60"/>
      <c r="Q473" s="13"/>
      <c r="R473" s="13"/>
      <c r="S473" s="13"/>
      <c r="T473" s="13"/>
      <c r="U473" s="13"/>
      <c r="V473" s="13"/>
    </row>
    <row r="474">
      <c r="A474" s="7" t="s">
        <v>420</v>
      </c>
      <c r="B474" s="7" t="s">
        <v>530</v>
      </c>
      <c r="C474" s="8" t="s">
        <v>417</v>
      </c>
      <c r="D474" s="7" t="s">
        <v>14</v>
      </c>
      <c r="E474" s="46">
        <v>1372.14</v>
      </c>
      <c r="F474" s="54" t="s">
        <v>957</v>
      </c>
      <c r="G474" s="7" t="s">
        <v>423</v>
      </c>
      <c r="H474" s="59" t="str">
        <f>HYPERLINK("http://www.usrc.it/AppRendiConta/det_591_20191011.pdf","Determinazione USRC n.591 del 2019.pdf")</f>
        <v>Determinazione USRC n.591 del 2019.pdf</v>
      </c>
      <c r="I474" s="7"/>
      <c r="J474" s="7"/>
      <c r="K474" s="8"/>
      <c r="L474" s="7"/>
      <c r="M474" s="46"/>
      <c r="N474" s="7"/>
      <c r="O474" s="7"/>
      <c r="P474" s="60"/>
      <c r="Q474" s="13"/>
      <c r="R474" s="13"/>
      <c r="S474" s="13"/>
      <c r="T474" s="13"/>
      <c r="U474" s="13"/>
      <c r="V474" s="13"/>
    </row>
    <row r="475">
      <c r="A475" s="54" t="s">
        <v>910</v>
      </c>
      <c r="B475" s="7" t="s">
        <v>402</v>
      </c>
      <c r="C475" s="8" t="s">
        <v>81</v>
      </c>
      <c r="D475" s="7" t="s">
        <v>32</v>
      </c>
      <c r="E475" s="46">
        <v>175.23</v>
      </c>
      <c r="F475" s="61" t="s">
        <v>958</v>
      </c>
      <c r="G475" s="7" t="s">
        <v>16</v>
      </c>
      <c r="H475" s="59" t="str">
        <f>HYPERLINK("http://www.usrc.it/AppRendiConta/det_626_20191021.pdf","Determinazione USRC n.626 del 2019.pdf")</f>
        <v>Determinazione USRC n.626 del 2019.pdf</v>
      </c>
      <c r="I475" s="7"/>
      <c r="J475" s="7"/>
      <c r="K475" s="8"/>
      <c r="L475" s="7"/>
      <c r="M475" s="46"/>
      <c r="N475" s="7"/>
      <c r="O475" s="7"/>
      <c r="P475" s="60"/>
      <c r="Q475" s="13"/>
      <c r="R475" s="13"/>
      <c r="S475" s="13"/>
      <c r="T475" s="13"/>
      <c r="U475" s="13"/>
      <c r="V475" s="13"/>
    </row>
    <row r="476">
      <c r="A476" s="7" t="s">
        <v>855</v>
      </c>
      <c r="B476" s="7" t="s">
        <v>96</v>
      </c>
      <c r="C476" s="8" t="s">
        <v>97</v>
      </c>
      <c r="D476" s="7" t="s">
        <v>32</v>
      </c>
      <c r="E476" s="46">
        <v>1160.38</v>
      </c>
      <c r="F476" s="61" t="s">
        <v>959</v>
      </c>
      <c r="G476" s="7" t="s">
        <v>16</v>
      </c>
      <c r="H476" s="59" t="str">
        <f>HYPERLINK("http://www.usrc.it/AppRendiConta/det_627_20191021.pdf","Determinazione USRC n.627 del 2019.pdf")</f>
        <v>Determinazione USRC n.627 del 2019.pdf</v>
      </c>
      <c r="I476" s="7"/>
      <c r="J476" s="7"/>
      <c r="K476" s="8"/>
      <c r="L476" s="7"/>
      <c r="M476" s="46"/>
      <c r="N476" s="7"/>
      <c r="O476" s="7"/>
      <c r="P476" s="60"/>
      <c r="Q476" s="13"/>
      <c r="R476" s="13"/>
      <c r="S476" s="13"/>
      <c r="T476" s="13"/>
      <c r="U476" s="13"/>
      <c r="V476" s="13"/>
    </row>
    <row r="477">
      <c r="A477" s="7" t="s">
        <v>960</v>
      </c>
      <c r="B477" s="7" t="s">
        <v>961</v>
      </c>
      <c r="C477" s="8" t="s">
        <v>962</v>
      </c>
      <c r="D477" s="62" t="s">
        <v>14</v>
      </c>
      <c r="E477" s="46">
        <v>30323.2</v>
      </c>
      <c r="F477" s="54" t="s">
        <v>963</v>
      </c>
      <c r="G477" s="7" t="s">
        <v>16</v>
      </c>
      <c r="H477" s="59" t="str">
        <f>HYPERLINK("http://www.usrc.it/AppRendiConta/det_639_20191025.pdf","Determinazione USRC n.639 del 2019.pdf")</f>
        <v>Determinazione USRC n.639 del 2019.pdf</v>
      </c>
      <c r="I477" s="7"/>
      <c r="J477" s="7"/>
      <c r="K477" s="8"/>
      <c r="L477" s="7"/>
      <c r="M477" s="46"/>
      <c r="N477" s="7"/>
      <c r="O477" s="7"/>
      <c r="P477" s="60"/>
      <c r="Q477" s="13"/>
      <c r="R477" s="13"/>
      <c r="S477" s="13"/>
      <c r="T477" s="13"/>
      <c r="U477" s="13"/>
      <c r="V477" s="13"/>
    </row>
    <row r="478">
      <c r="A478" s="7" t="s">
        <v>870</v>
      </c>
      <c r="B478" s="7" t="s">
        <v>366</v>
      </c>
      <c r="C478" s="8" t="s">
        <v>367</v>
      </c>
      <c r="D478" s="7" t="s">
        <v>14</v>
      </c>
      <c r="E478" s="46">
        <v>106.19</v>
      </c>
      <c r="F478" s="61" t="s">
        <v>964</v>
      </c>
      <c r="G478" s="7" t="s">
        <v>16</v>
      </c>
      <c r="H478" s="59" t="str">
        <f>HYPERLINK("http://www.usrc.it/AppRendiConta/det_662_20191108.pdf","Determinazione USRC n.662 del 2019.pdf")</f>
        <v>Determinazione USRC n.662 del 2019.pdf</v>
      </c>
      <c r="I478" s="7"/>
      <c r="J478" s="7"/>
      <c r="K478" s="8"/>
      <c r="L478" s="7"/>
      <c r="M478" s="46"/>
      <c r="N478" s="7"/>
      <c r="O478" s="7"/>
      <c r="P478" s="60"/>
      <c r="Q478" s="13"/>
      <c r="R478" s="13"/>
      <c r="S478" s="13"/>
      <c r="T478" s="13"/>
      <c r="U478" s="13"/>
      <c r="V478" s="13"/>
    </row>
    <row r="479">
      <c r="A479" s="7" t="s">
        <v>965</v>
      </c>
      <c r="B479" s="7" t="s">
        <v>350</v>
      </c>
      <c r="C479" s="8" t="s">
        <v>298</v>
      </c>
      <c r="D479" s="7" t="s">
        <v>32</v>
      </c>
      <c r="E479" s="46">
        <v>427.5</v>
      </c>
      <c r="F479" s="61" t="s">
        <v>966</v>
      </c>
      <c r="G479" s="7" t="s">
        <v>16</v>
      </c>
      <c r="H479" s="59" t="str">
        <f>HYPERLINK("http://www.usrc.it/AppRendiConta/det_663_20191108.pdf","Determinazione USRC n.663 del 2019.pdf")</f>
        <v>Determinazione USRC n.663 del 2019.pdf</v>
      </c>
      <c r="I479" s="7"/>
      <c r="J479" s="7"/>
      <c r="K479" s="8"/>
      <c r="L479" s="7"/>
      <c r="M479" s="46"/>
      <c r="N479" s="7"/>
      <c r="O479" s="7"/>
      <c r="P479" s="60"/>
      <c r="Q479" s="13"/>
      <c r="R479" s="13"/>
      <c r="S479" s="13"/>
      <c r="T479" s="13"/>
      <c r="U479" s="13"/>
      <c r="V479" s="13"/>
    </row>
    <row r="480">
      <c r="A480" s="7" t="s">
        <v>926</v>
      </c>
      <c r="B480" s="7" t="s">
        <v>927</v>
      </c>
      <c r="C480" s="8" t="s">
        <v>928</v>
      </c>
      <c r="D480" s="7" t="s">
        <v>14</v>
      </c>
      <c r="E480" s="44">
        <v>2387.24</v>
      </c>
      <c r="F480" s="61" t="s">
        <v>967</v>
      </c>
      <c r="G480" s="7" t="s">
        <v>16</v>
      </c>
      <c r="H480" s="59" t="str">
        <f>HYPERLINK("http://www.usrc.it/AppRendiConta/det_664_20191108.pdf","Determinazione USRC n.664 del 2019.pdf")</f>
        <v>Determinazione USRC n.664 del 2019.pdf</v>
      </c>
      <c r="I480" s="12"/>
      <c r="J480" s="12"/>
      <c r="K480" s="12"/>
      <c r="L480" s="12"/>
      <c r="M480" s="12"/>
      <c r="N480" s="12"/>
      <c r="O480" s="12"/>
      <c r="P480" s="12"/>
      <c r="Q480" s="13"/>
      <c r="R480" s="13"/>
      <c r="S480" s="13"/>
      <c r="T480" s="13"/>
      <c r="U480" s="13"/>
      <c r="V480" s="13"/>
    </row>
    <row r="481">
      <c r="A481" s="7" t="s">
        <v>857</v>
      </c>
      <c r="B481" s="54" t="s">
        <v>750</v>
      </c>
      <c r="C481" s="8" t="s">
        <v>195</v>
      </c>
      <c r="D481" s="7" t="s">
        <v>14</v>
      </c>
      <c r="E481" s="46">
        <v>1000.0</v>
      </c>
      <c r="F481" s="61" t="s">
        <v>968</v>
      </c>
      <c r="G481" s="7" t="s">
        <v>16</v>
      </c>
      <c r="H481" s="59" t="str">
        <f>HYPERLINK("http://www.usrc.it/AppRendiConta/det_665_20191108.pdf","Determinazione USRC n.665 del 2019.pdf")</f>
        <v>Determinazione USRC n.665 del 2019.pdf</v>
      </c>
      <c r="I481" s="12"/>
      <c r="J481" s="12"/>
      <c r="K481" s="12"/>
      <c r="L481" s="12"/>
      <c r="M481" s="12"/>
      <c r="N481" s="12"/>
      <c r="O481" s="12"/>
      <c r="P481" s="12"/>
      <c r="Q481" s="13"/>
      <c r="R481" s="13"/>
      <c r="S481" s="13"/>
      <c r="T481" s="13"/>
      <c r="U481" s="13"/>
      <c r="V481" s="13"/>
    </row>
    <row r="482">
      <c r="A482" s="7" t="s">
        <v>969</v>
      </c>
      <c r="B482" s="54" t="s">
        <v>567</v>
      </c>
      <c r="C482" s="8" t="s">
        <v>568</v>
      </c>
      <c r="D482" s="7" t="s">
        <v>32</v>
      </c>
      <c r="E482" s="46">
        <v>1647.0</v>
      </c>
      <c r="F482" s="61" t="s">
        <v>970</v>
      </c>
      <c r="G482" s="7" t="s">
        <v>16</v>
      </c>
      <c r="H482" s="59" t="str">
        <f>HYPERLINK("http://www.usrc.it/AppRendiConta/det_682_20191120.pdf","Determinazione USRC n.682 del 2019.pdf")</f>
        <v>Determinazione USRC n.682 del 2019.pdf</v>
      </c>
      <c r="I482" s="12"/>
      <c r="J482" s="12"/>
      <c r="K482" s="12"/>
      <c r="L482" s="12"/>
      <c r="M482" s="12"/>
      <c r="N482" s="12"/>
      <c r="O482" s="12"/>
      <c r="P482" s="12"/>
      <c r="Q482" s="13"/>
      <c r="R482" s="13"/>
      <c r="S482" s="13"/>
      <c r="T482" s="13"/>
      <c r="U482" s="13"/>
      <c r="V482" s="13"/>
    </row>
    <row r="483">
      <c r="A483" s="7" t="s">
        <v>971</v>
      </c>
      <c r="B483" s="7" t="s">
        <v>972</v>
      </c>
      <c r="C483" s="8" t="s">
        <v>973</v>
      </c>
      <c r="D483" s="7" t="s">
        <v>32</v>
      </c>
      <c r="E483" s="46">
        <v>5777.2</v>
      </c>
      <c r="F483" s="7" t="s">
        <v>974</v>
      </c>
      <c r="G483" s="7" t="s">
        <v>16</v>
      </c>
      <c r="H483" s="59" t="str">
        <f>HYPERLINK("http://www.usrc.it/AppRendiConta/det_678_20191112.pdf","Determinazione USRC n.678 del 2019.pdf")</f>
        <v>Determinazione USRC n.678 del 2019.pdf</v>
      </c>
      <c r="I483" s="12"/>
      <c r="J483" s="12"/>
      <c r="K483" s="12"/>
      <c r="L483" s="12"/>
      <c r="M483" s="12"/>
      <c r="N483" s="12"/>
      <c r="O483" s="12"/>
      <c r="P483" s="12"/>
      <c r="Q483" s="13"/>
      <c r="R483" s="13"/>
      <c r="S483" s="13"/>
      <c r="T483" s="13"/>
      <c r="U483" s="13"/>
      <c r="V483" s="13"/>
    </row>
    <row r="484">
      <c r="A484" s="7" t="s">
        <v>975</v>
      </c>
      <c r="B484" s="7" t="s">
        <v>976</v>
      </c>
      <c r="C484" s="8" t="s">
        <v>977</v>
      </c>
      <c r="D484" s="7" t="s">
        <v>32</v>
      </c>
      <c r="E484" s="46">
        <v>2914.5</v>
      </c>
      <c r="F484" s="61" t="s">
        <v>978</v>
      </c>
      <c r="G484" s="7" t="s">
        <v>16</v>
      </c>
      <c r="H484" s="59" t="str">
        <f>HYPERLINK("http://www.usrc.it/AppRendiConta/det_683_20191120.pdf","Determinazione USRC n.683 del 2019.pdf")</f>
        <v>Determinazione USRC n.683 del 2019.pdf</v>
      </c>
      <c r="I484" s="12"/>
      <c r="J484" s="12"/>
      <c r="K484" s="12"/>
      <c r="L484" s="12"/>
      <c r="M484" s="12"/>
      <c r="N484" s="12"/>
      <c r="O484" s="12"/>
      <c r="P484" s="12"/>
      <c r="Q484" s="13"/>
      <c r="R484" s="13"/>
      <c r="S484" s="13"/>
      <c r="T484" s="13"/>
      <c r="U484" s="13"/>
      <c r="V484" s="13"/>
    </row>
    <row r="485">
      <c r="A485" s="7" t="s">
        <v>333</v>
      </c>
      <c r="B485" s="7" t="s">
        <v>334</v>
      </c>
      <c r="C485" s="8" t="s">
        <v>335</v>
      </c>
      <c r="D485" s="7" t="s">
        <v>32</v>
      </c>
      <c r="E485" s="46">
        <v>2052.0</v>
      </c>
      <c r="F485" s="61" t="s">
        <v>979</v>
      </c>
      <c r="G485" s="7" t="s">
        <v>423</v>
      </c>
      <c r="H485" s="59" t="str">
        <f>HYPERLINK("http://www.usrc.it/AppRendiConta/det_684_20191120.pdf","Determinazione USRC n.684 del 2019.pdf")</f>
        <v>Determinazione USRC n.684 del 2019.pdf</v>
      </c>
      <c r="I485" s="12"/>
      <c r="J485" s="12"/>
      <c r="K485" s="12"/>
      <c r="L485" s="12"/>
      <c r="M485" s="12"/>
      <c r="N485" s="12"/>
      <c r="O485" s="12"/>
      <c r="P485" s="12"/>
      <c r="Q485" s="13"/>
      <c r="R485" s="13"/>
      <c r="S485" s="13"/>
      <c r="T485" s="13"/>
      <c r="U485" s="13"/>
      <c r="V485" s="13"/>
    </row>
    <row r="486">
      <c r="A486" s="7" t="s">
        <v>855</v>
      </c>
      <c r="B486" s="7" t="s">
        <v>96</v>
      </c>
      <c r="C486" s="8" t="s">
        <v>97</v>
      </c>
      <c r="D486" s="7" t="s">
        <v>32</v>
      </c>
      <c r="E486" s="46">
        <v>1554.72</v>
      </c>
      <c r="F486" s="61" t="s">
        <v>980</v>
      </c>
      <c r="G486" s="7" t="s">
        <v>16</v>
      </c>
      <c r="H486" s="59" t="str">
        <f>HYPERLINK("http://www.usrc.it/AppRendiConta/det_699_20191121.pdf","Determinazione USRC n.699 del 2019.pdf")</f>
        <v>Determinazione USRC n.699 del 2019.pdf</v>
      </c>
      <c r="I486" s="12"/>
      <c r="J486" s="12"/>
      <c r="K486" s="12"/>
      <c r="L486" s="12"/>
      <c r="M486" s="12"/>
      <c r="N486" s="12"/>
      <c r="O486" s="12"/>
      <c r="P486" s="12"/>
      <c r="Q486" s="13"/>
      <c r="R486" s="13"/>
      <c r="S486" s="13"/>
      <c r="T486" s="13"/>
      <c r="U486" s="13"/>
      <c r="V486" s="13"/>
    </row>
    <row r="487">
      <c r="A487" s="7" t="s">
        <v>855</v>
      </c>
      <c r="B487" s="7" t="s">
        <v>96</v>
      </c>
      <c r="C487" s="8" t="s">
        <v>97</v>
      </c>
      <c r="D487" s="7" t="s">
        <v>32</v>
      </c>
      <c r="E487" s="46">
        <v>1549.87</v>
      </c>
      <c r="F487" s="61" t="s">
        <v>981</v>
      </c>
      <c r="G487" s="7" t="s">
        <v>16</v>
      </c>
      <c r="H487" s="59" t="str">
        <f>HYPERLINK("http://www.usrc.it/AppRendiConta/det_728_20191202.pdf","Determinazione USRC n.728 del 2019.pdf")</f>
        <v>Determinazione USRC n.728 del 2019.pdf</v>
      </c>
      <c r="I487" s="12"/>
      <c r="J487" s="12"/>
      <c r="K487" s="12"/>
      <c r="L487" s="12"/>
      <c r="M487" s="12"/>
      <c r="N487" s="12"/>
      <c r="O487" s="12"/>
      <c r="P487" s="12"/>
      <c r="Q487" s="13"/>
      <c r="R487" s="13"/>
      <c r="S487" s="13"/>
      <c r="T487" s="13"/>
      <c r="U487" s="13"/>
      <c r="V487" s="13"/>
    </row>
    <row r="488">
      <c r="A488" s="7" t="s">
        <v>517</v>
      </c>
      <c r="B488" s="7" t="s">
        <v>518</v>
      </c>
      <c r="C488" s="8" t="s">
        <v>69</v>
      </c>
      <c r="D488" s="7" t="s">
        <v>14</v>
      </c>
      <c r="E488" s="46">
        <v>1898.93</v>
      </c>
      <c r="F488" s="61" t="s">
        <v>982</v>
      </c>
      <c r="G488" s="7" t="s">
        <v>419</v>
      </c>
      <c r="H488" s="59" t="str">
        <f>HYPERLINK("http://www.usrc.it/AppRendiConta/det_729_20191202.pdf","Determinazione USRC n.729 del 2019.pdf")</f>
        <v>Determinazione USRC n.729 del 2019.pdf</v>
      </c>
      <c r="I488" s="12"/>
      <c r="J488" s="12"/>
      <c r="K488" s="12"/>
      <c r="L488" s="12"/>
      <c r="M488" s="12"/>
      <c r="N488" s="12"/>
      <c r="O488" s="12"/>
      <c r="P488" s="12"/>
      <c r="Q488" s="13"/>
      <c r="R488" s="13"/>
      <c r="S488" s="13"/>
      <c r="T488" s="13"/>
      <c r="U488" s="13"/>
      <c r="V488" s="13"/>
    </row>
    <row r="489">
      <c r="A489" s="7" t="s">
        <v>514</v>
      </c>
      <c r="B489" s="7" t="s">
        <v>515</v>
      </c>
      <c r="C489" s="8" t="s">
        <v>69</v>
      </c>
      <c r="D489" s="7" t="s">
        <v>14</v>
      </c>
      <c r="E489" s="46">
        <v>321.43</v>
      </c>
      <c r="F489" s="61" t="s">
        <v>983</v>
      </c>
      <c r="G489" s="7" t="s">
        <v>16</v>
      </c>
      <c r="H489" s="59" t="str">
        <f>HYPERLINK("http://www.usrc.it/AppRendiConta/det_730_20191202.pdf","Determinazione USRC n.730 del 2019.pdf")</f>
        <v>Determinazione USRC n.730 del 2019.pdf</v>
      </c>
      <c r="I489" s="12"/>
      <c r="J489" s="12"/>
      <c r="K489" s="12"/>
      <c r="L489" s="12"/>
      <c r="M489" s="12"/>
      <c r="N489" s="12"/>
      <c r="O489" s="12"/>
      <c r="P489" s="12"/>
      <c r="Q489" s="13"/>
      <c r="R489" s="13"/>
      <c r="S489" s="13"/>
      <c r="T489" s="13"/>
      <c r="U489" s="13"/>
      <c r="V489" s="13"/>
    </row>
    <row r="490">
      <c r="A490" s="7" t="s">
        <v>984</v>
      </c>
      <c r="B490" s="7" t="s">
        <v>985</v>
      </c>
      <c r="C490" s="8" t="s">
        <v>69</v>
      </c>
      <c r="D490" s="7" t="s">
        <v>14</v>
      </c>
      <c r="E490" s="46">
        <v>486.51</v>
      </c>
      <c r="F490" s="61" t="s">
        <v>986</v>
      </c>
      <c r="G490" s="7" t="s">
        <v>16</v>
      </c>
      <c r="H490" s="59" t="str">
        <f>HYPERLINK("http://www.usrc.it/AppRendiConta/det_731_20191202.pdf","Determinazione USRC n.731 del 2019.pdf")</f>
        <v>Determinazione USRC n.731 del 2019.pdf</v>
      </c>
      <c r="I490" s="12"/>
      <c r="J490" s="12"/>
      <c r="K490" s="12"/>
      <c r="L490" s="12"/>
      <c r="M490" s="12"/>
      <c r="N490" s="12"/>
      <c r="O490" s="12"/>
      <c r="P490" s="12"/>
      <c r="Q490" s="13"/>
      <c r="R490" s="13"/>
      <c r="S490" s="13"/>
      <c r="T490" s="13"/>
      <c r="U490" s="13"/>
      <c r="V490" s="13"/>
    </row>
    <row r="491">
      <c r="A491" s="7" t="s">
        <v>910</v>
      </c>
      <c r="B491" s="7" t="s">
        <v>402</v>
      </c>
      <c r="C491" s="8" t="s">
        <v>81</v>
      </c>
      <c r="D491" s="7" t="s">
        <v>32</v>
      </c>
      <c r="E491" s="46">
        <v>449.44</v>
      </c>
      <c r="F491" s="61" t="s">
        <v>987</v>
      </c>
      <c r="G491" s="7" t="s">
        <v>16</v>
      </c>
      <c r="H491" s="59" t="str">
        <f>HYPERLINK("http://www.usrc.it/AppRendiConta/det_732_20191202.pdf","Determinazione USRC n.732 del 2019.pdf")</f>
        <v>Determinazione USRC n.732 del 2019.pdf</v>
      </c>
      <c r="I491" s="12"/>
      <c r="J491" s="12"/>
      <c r="K491" s="12"/>
      <c r="L491" s="12"/>
      <c r="M491" s="12"/>
      <c r="N491" s="12"/>
      <c r="O491" s="12"/>
      <c r="P491" s="12"/>
      <c r="Q491" s="13"/>
      <c r="R491" s="13"/>
      <c r="S491" s="13"/>
      <c r="T491" s="13"/>
      <c r="U491" s="13"/>
      <c r="V491" s="13"/>
    </row>
    <row r="492">
      <c r="A492" s="7" t="s">
        <v>971</v>
      </c>
      <c r="B492" s="7" t="s">
        <v>988</v>
      </c>
      <c r="C492" s="8" t="s">
        <v>989</v>
      </c>
      <c r="D492" s="7" t="s">
        <v>14</v>
      </c>
      <c r="E492" s="46">
        <v>4229.33</v>
      </c>
      <c r="F492" s="61" t="s">
        <v>990</v>
      </c>
      <c r="G492" s="7" t="s">
        <v>16</v>
      </c>
      <c r="H492" s="59" t="str">
        <f>HYPERLINK("http://www.usrc.it/AppRendiConta/det_780_20191213.pdf","Determinazione USRC n.780 del 2019.pdf")</f>
        <v>Determinazione USRC n.780 del 2019.pdf</v>
      </c>
      <c r="I492" s="12"/>
      <c r="J492" s="12"/>
      <c r="K492" s="12"/>
      <c r="L492" s="12"/>
      <c r="M492" s="12"/>
      <c r="N492" s="12"/>
      <c r="O492" s="12"/>
      <c r="P492" s="12"/>
      <c r="Q492" s="13"/>
      <c r="R492" s="13"/>
      <c r="S492" s="13"/>
      <c r="T492" s="13"/>
      <c r="U492" s="13"/>
      <c r="V492" s="13"/>
    </row>
    <row r="493">
      <c r="A493" s="7" t="s">
        <v>971</v>
      </c>
      <c r="B493" s="7" t="s">
        <v>972</v>
      </c>
      <c r="C493" s="8" t="s">
        <v>973</v>
      </c>
      <c r="D493" s="7" t="s">
        <v>14</v>
      </c>
      <c r="E493" s="46">
        <v>3466.32</v>
      </c>
      <c r="F493" s="7" t="s">
        <v>991</v>
      </c>
      <c r="G493" s="7" t="s">
        <v>16</v>
      </c>
      <c r="H493" s="59" t="str">
        <f>HYPERLINK("http://www.usrc.it/AppRendiConta/det.786_20191116.pdf","Determinazione USRC n.786 del 2019.pdf")</f>
        <v>Determinazione USRC n.786 del 2019.pdf</v>
      </c>
      <c r="I493" s="12"/>
      <c r="J493" s="12"/>
      <c r="K493" s="12"/>
      <c r="L493" s="12"/>
      <c r="M493" s="12"/>
      <c r="N493" s="12"/>
      <c r="O493" s="12"/>
      <c r="P493" s="12"/>
      <c r="Q493" s="13"/>
      <c r="R493" s="13"/>
      <c r="S493" s="13"/>
      <c r="T493" s="13"/>
      <c r="U493" s="13"/>
      <c r="V493" s="13"/>
    </row>
    <row r="494">
      <c r="A494" s="7" t="s">
        <v>971</v>
      </c>
      <c r="B494" s="7" t="s">
        <v>992</v>
      </c>
      <c r="C494" s="8" t="s">
        <v>993</v>
      </c>
      <c r="D494" s="7" t="s">
        <v>14</v>
      </c>
      <c r="E494" s="46">
        <v>4125.0</v>
      </c>
      <c r="F494" s="7" t="s">
        <v>994</v>
      </c>
      <c r="G494" s="7" t="s">
        <v>16</v>
      </c>
      <c r="H494" s="59" t="str">
        <f>HYPERLINK("http://www.usrc.it/AppRendiConta/det.801_20191118.pdf","Determinazione USRC n.801 del 2019.pdf")</f>
        <v>Determinazione USRC n.801 del 2019.pdf</v>
      </c>
      <c r="I494" s="12"/>
      <c r="J494" s="12"/>
      <c r="K494" s="12"/>
      <c r="L494" s="12"/>
      <c r="M494" s="12"/>
      <c r="N494" s="12"/>
      <c r="O494" s="12"/>
      <c r="P494" s="12"/>
      <c r="Q494" s="13"/>
      <c r="R494" s="13"/>
      <c r="S494" s="13"/>
      <c r="T494" s="13"/>
      <c r="U494" s="13"/>
      <c r="V494" s="13"/>
    </row>
    <row r="495">
      <c r="A495" s="7" t="s">
        <v>971</v>
      </c>
      <c r="B495" s="7" t="s">
        <v>995</v>
      </c>
      <c r="C495" s="8" t="s">
        <v>996</v>
      </c>
      <c r="D495" s="7" t="s">
        <v>14</v>
      </c>
      <c r="E495" s="46">
        <v>3139.53</v>
      </c>
      <c r="F495" s="7" t="s">
        <v>997</v>
      </c>
      <c r="G495" s="7" t="s">
        <v>16</v>
      </c>
      <c r="H495" s="59" t="str">
        <f>HYPERLINK("http://www.usrc.it/AppRendiConta/det.804_20191119.pdf","Determinazione USRC n.804 del 2019.pdf")</f>
        <v>Determinazione USRC n.804 del 2019.pdf</v>
      </c>
      <c r="I495" s="12"/>
      <c r="J495" s="12"/>
      <c r="K495" s="12"/>
      <c r="L495" s="12"/>
      <c r="M495" s="12"/>
      <c r="N495" s="12"/>
      <c r="O495" s="12"/>
      <c r="P495" s="12"/>
      <c r="Q495" s="13"/>
      <c r="R495" s="13"/>
      <c r="S495" s="13"/>
      <c r="T495" s="13"/>
      <c r="U495" s="13"/>
      <c r="V495" s="13"/>
    </row>
    <row r="496">
      <c r="A496" s="7" t="s">
        <v>971</v>
      </c>
      <c r="B496" s="7" t="s">
        <v>998</v>
      </c>
      <c r="C496" s="8" t="s">
        <v>999</v>
      </c>
      <c r="D496" s="7" t="s">
        <v>14</v>
      </c>
      <c r="E496" s="46">
        <v>815.22</v>
      </c>
      <c r="F496" s="7" t="s">
        <v>1000</v>
      </c>
      <c r="G496" s="7" t="s">
        <v>16</v>
      </c>
      <c r="H496" s="59" t="str">
        <f>HYPERLINK("http://www.usrc.it/AppRendiConta/det.806_20191119.pdf","Determinazione USRC n.806 del 2019.pdf")</f>
        <v>Determinazione USRC n.806 del 2019.pdf</v>
      </c>
      <c r="I496" s="12"/>
      <c r="J496" s="12"/>
      <c r="K496" s="12"/>
      <c r="L496" s="12"/>
      <c r="M496" s="12"/>
      <c r="N496" s="12"/>
      <c r="O496" s="12"/>
      <c r="P496" s="12"/>
      <c r="Q496" s="13"/>
      <c r="R496" s="13"/>
      <c r="S496" s="13"/>
      <c r="T496" s="13"/>
      <c r="U496" s="13"/>
      <c r="V496" s="13"/>
    </row>
    <row r="497">
      <c r="A497" s="7" t="s">
        <v>971</v>
      </c>
      <c r="B497" s="7" t="s">
        <v>1001</v>
      </c>
      <c r="C497" s="8" t="s">
        <v>1002</v>
      </c>
      <c r="D497" s="7" t="s">
        <v>14</v>
      </c>
      <c r="E497" s="46">
        <v>3363.64</v>
      </c>
      <c r="F497" s="7" t="s">
        <v>1003</v>
      </c>
      <c r="G497" s="7" t="s">
        <v>16</v>
      </c>
      <c r="H497" s="59" t="str">
        <f>HYPERLINK("http://www.usrc.it/AppRendiConta/det.808_20191120.pdf","Determinazione USRC n.808 del 2019.pdf")</f>
        <v>Determinazione USRC n.808 del 2019.pdf</v>
      </c>
      <c r="I497" s="12"/>
      <c r="J497" s="12"/>
      <c r="K497" s="12"/>
      <c r="L497" s="12"/>
      <c r="M497" s="12"/>
      <c r="N497" s="12"/>
      <c r="O497" s="12"/>
      <c r="P497" s="12"/>
      <c r="Q497" s="13"/>
      <c r="R497" s="13"/>
      <c r="S497" s="13"/>
      <c r="T497" s="13"/>
      <c r="U497" s="13"/>
      <c r="V497" s="13"/>
    </row>
    <row r="498">
      <c r="A498" s="7" t="s">
        <v>971</v>
      </c>
      <c r="B498" s="7" t="s">
        <v>1004</v>
      </c>
      <c r="C498" s="8" t="s">
        <v>1005</v>
      </c>
      <c r="D498" s="7" t="s">
        <v>14</v>
      </c>
      <c r="E498" s="46">
        <v>827.21</v>
      </c>
      <c r="F498" s="7" t="s">
        <v>1006</v>
      </c>
      <c r="G498" s="7" t="s">
        <v>16</v>
      </c>
      <c r="H498" s="59" t="str">
        <f>HYPERLINK("http://www.usrc.it/AppRendiConta/det.809_20191120.pdf","Determinazione USRC n.809 del 2019.pdf")</f>
        <v>Determinazione USRC n.809 del 2019.pdf</v>
      </c>
      <c r="I498" s="12"/>
      <c r="J498" s="12"/>
      <c r="K498" s="12"/>
      <c r="L498" s="12"/>
      <c r="M498" s="12"/>
      <c r="N498" s="12"/>
      <c r="O498" s="12"/>
      <c r="P498" s="12"/>
      <c r="Q498" s="13"/>
      <c r="R498" s="13"/>
      <c r="S498" s="13"/>
      <c r="T498" s="13"/>
      <c r="U498" s="13"/>
      <c r="V498" s="13"/>
    </row>
    <row r="499">
      <c r="A499" s="7" t="s">
        <v>971</v>
      </c>
      <c r="B499" s="7" t="s">
        <v>1007</v>
      </c>
      <c r="C499" s="8" t="s">
        <v>1008</v>
      </c>
      <c r="D499" s="7" t="s">
        <v>14</v>
      </c>
      <c r="E499" s="46">
        <v>2200.0</v>
      </c>
      <c r="F499" s="7" t="s">
        <v>1009</v>
      </c>
      <c r="G499" s="7" t="s">
        <v>16</v>
      </c>
      <c r="H499" s="59" t="str">
        <f>HYPERLINK("http://www.usrc.it/AppRendiConta/det.810_20191120.pdf","Determinazione USRC n.810 del 2019.pdf")</f>
        <v>Determinazione USRC n.810 del 2019.pdf</v>
      </c>
      <c r="I499" s="12"/>
      <c r="J499" s="12"/>
      <c r="K499" s="12"/>
      <c r="L499" s="12"/>
      <c r="M499" s="12"/>
      <c r="N499" s="12"/>
      <c r="O499" s="12"/>
      <c r="P499" s="12"/>
      <c r="Q499" s="13"/>
      <c r="R499" s="13"/>
      <c r="S499" s="13"/>
      <c r="T499" s="13"/>
      <c r="U499" s="13"/>
      <c r="V499" s="13"/>
    </row>
    <row r="500">
      <c r="A500" s="7" t="s">
        <v>333</v>
      </c>
      <c r="B500" s="7" t="s">
        <v>334</v>
      </c>
      <c r="C500" s="8" t="s">
        <v>335</v>
      </c>
      <c r="D500" s="7" t="s">
        <v>32</v>
      </c>
      <c r="E500" s="46">
        <v>2052.0</v>
      </c>
      <c r="F500" s="7" t="s">
        <v>1010</v>
      </c>
      <c r="G500" s="7" t="s">
        <v>423</v>
      </c>
      <c r="H500" s="59" t="str">
        <f>HYPERLINK("http://www.usrc.it/AppRendiConta/det.7_20200120.pdf","Determinazione USRC n.7 del 2020.pdf")</f>
        <v>Determinazione USRC n.7 del 2020.pdf</v>
      </c>
      <c r="I500" s="12"/>
      <c r="J500" s="12"/>
      <c r="K500" s="12"/>
      <c r="L500" s="12"/>
      <c r="M500" s="12"/>
      <c r="N500" s="12"/>
      <c r="O500" s="12"/>
      <c r="P500" s="12"/>
      <c r="Q500" s="13"/>
      <c r="R500" s="13"/>
      <c r="S500" s="13"/>
      <c r="T500" s="13"/>
      <c r="U500" s="13"/>
      <c r="V500" s="13"/>
    </row>
    <row r="501">
      <c r="A501" s="7" t="s">
        <v>1011</v>
      </c>
      <c r="B501" s="7" t="s">
        <v>1012</v>
      </c>
      <c r="C501" s="8" t="s">
        <v>1013</v>
      </c>
      <c r="D501" s="7" t="s">
        <v>32</v>
      </c>
      <c r="E501" s="46">
        <v>331.96</v>
      </c>
      <c r="F501" s="7" t="s">
        <v>1014</v>
      </c>
      <c r="G501" s="7" t="s">
        <v>16</v>
      </c>
      <c r="H501" s="59" t="str">
        <f>HYPERLINK("http://www.usrc.it/AppRendiConta/det.8_20200120.pdf","Determinazione USRC n.8 del 2020.pdf")</f>
        <v>Determinazione USRC n.8 del 2020.pdf</v>
      </c>
      <c r="I501" s="12"/>
      <c r="J501" s="12"/>
      <c r="K501" s="12"/>
      <c r="L501" s="12"/>
      <c r="M501" s="12"/>
      <c r="N501" s="12"/>
      <c r="O501" s="12"/>
      <c r="P501" s="12"/>
      <c r="Q501" s="13"/>
      <c r="R501" s="13"/>
      <c r="S501" s="13"/>
      <c r="T501" s="13"/>
      <c r="U501" s="13"/>
      <c r="V501" s="13"/>
    </row>
    <row r="502">
      <c r="A502" s="7" t="s">
        <v>971</v>
      </c>
      <c r="B502" s="7" t="s">
        <v>988</v>
      </c>
      <c r="C502" s="8" t="s">
        <v>989</v>
      </c>
      <c r="D502" s="7" t="s">
        <v>14</v>
      </c>
      <c r="E502" s="46">
        <v>4229.33</v>
      </c>
      <c r="F502" s="7" t="s">
        <v>1015</v>
      </c>
      <c r="G502" s="7" t="s">
        <v>16</v>
      </c>
      <c r="H502" s="59" t="str">
        <f>HYPERLINK("http://www.usrc.it/AppRendiConta/det.28_20200117.pdf","Determinazione USRC n.28 del 2020.pdf")</f>
        <v>Determinazione USRC n.28 del 2020.pdf</v>
      </c>
      <c r="I502" s="12"/>
      <c r="J502" s="12"/>
      <c r="K502" s="12"/>
      <c r="L502" s="12"/>
      <c r="M502" s="12"/>
      <c r="N502" s="12"/>
      <c r="O502" s="12"/>
      <c r="P502" s="12"/>
      <c r="Q502" s="13"/>
      <c r="R502" s="13"/>
      <c r="S502" s="13"/>
      <c r="T502" s="13"/>
      <c r="U502" s="13"/>
      <c r="V502" s="13"/>
    </row>
    <row r="503">
      <c r="A503" s="7" t="s">
        <v>971</v>
      </c>
      <c r="B503" s="7" t="s">
        <v>972</v>
      </c>
      <c r="C503" s="8" t="s">
        <v>973</v>
      </c>
      <c r="D503" s="7" t="s">
        <v>14</v>
      </c>
      <c r="E503" s="46">
        <v>3466.32</v>
      </c>
      <c r="F503" s="7" t="s">
        <v>1016</v>
      </c>
      <c r="G503" s="7" t="s">
        <v>16</v>
      </c>
      <c r="H503" s="59" t="str">
        <f>HYPERLINK("http://www.usrc.it/AppRendiConta/det.29_20200117.pdf","Determinazione USRC n.29 del 2020.pdf")</f>
        <v>Determinazione USRC n.29 del 2020.pdf</v>
      </c>
      <c r="I503" s="12"/>
      <c r="J503" s="12"/>
      <c r="K503" s="12"/>
      <c r="L503" s="12"/>
      <c r="M503" s="12"/>
      <c r="N503" s="12"/>
      <c r="O503" s="12"/>
      <c r="P503" s="12"/>
      <c r="Q503" s="13"/>
      <c r="R503" s="13"/>
      <c r="S503" s="13"/>
      <c r="T503" s="13"/>
      <c r="U503" s="13"/>
      <c r="V503" s="13"/>
    </row>
    <row r="504">
      <c r="A504" s="7" t="s">
        <v>857</v>
      </c>
      <c r="B504" s="7" t="s">
        <v>750</v>
      </c>
      <c r="C504" s="8" t="s">
        <v>195</v>
      </c>
      <c r="D504" s="7" t="s">
        <v>14</v>
      </c>
      <c r="E504" s="46">
        <v>1500.0</v>
      </c>
      <c r="F504" s="7" t="s">
        <v>1017</v>
      </c>
      <c r="G504" s="7" t="s">
        <v>16</v>
      </c>
      <c r="H504" s="59" t="str">
        <f>HYPERLINK("http://www.usrc.it/AppRendiConta/det.30_20200120.pdf","Determinazione USRC n.30 del 2020.pdf")</f>
        <v>Determinazione USRC n.30 del 2020.pdf</v>
      </c>
      <c r="I504" s="12"/>
      <c r="J504" s="12"/>
      <c r="K504" s="12"/>
      <c r="L504" s="12"/>
      <c r="M504" s="12"/>
      <c r="N504" s="12"/>
      <c r="O504" s="12"/>
      <c r="P504" s="12"/>
      <c r="Q504" s="13"/>
      <c r="R504" s="13"/>
      <c r="S504" s="13"/>
      <c r="T504" s="13"/>
      <c r="U504" s="13"/>
      <c r="V504" s="13"/>
    </row>
    <row r="505">
      <c r="A505" s="7" t="s">
        <v>1018</v>
      </c>
      <c r="B505" s="7" t="s">
        <v>1019</v>
      </c>
      <c r="C505" s="8" t="s">
        <v>1020</v>
      </c>
      <c r="D505" s="7" t="s">
        <v>32</v>
      </c>
      <c r="E505" s="46">
        <v>125.0</v>
      </c>
      <c r="F505" s="7" t="s">
        <v>1021</v>
      </c>
      <c r="G505" s="7" t="s">
        <v>16</v>
      </c>
      <c r="H505" s="59" t="str">
        <f>HYPERLINK("http://www.usrc.it/AppRendiConta/det.31_20200120.pdf","Determinazione USRC n.31 del 2020.pdf")</f>
        <v>Determinazione USRC n.31 del 2020.pdf</v>
      </c>
      <c r="I505" s="12"/>
      <c r="J505" s="12"/>
      <c r="K505" s="12"/>
      <c r="L505" s="12"/>
      <c r="M505" s="12"/>
      <c r="N505" s="12"/>
      <c r="O505" s="12"/>
      <c r="P505" s="12"/>
      <c r="Q505" s="13"/>
      <c r="R505" s="13"/>
      <c r="S505" s="13"/>
      <c r="T505" s="13"/>
      <c r="U505" s="13"/>
      <c r="V505" s="13"/>
    </row>
    <row r="506">
      <c r="A506" s="7" t="s">
        <v>1022</v>
      </c>
      <c r="B506" s="7" t="s">
        <v>1019</v>
      </c>
      <c r="C506" s="8" t="s">
        <v>1020</v>
      </c>
      <c r="D506" s="7" t="s">
        <v>32</v>
      </c>
      <c r="E506" s="46">
        <v>104.5</v>
      </c>
      <c r="F506" s="7" t="s">
        <v>1023</v>
      </c>
      <c r="G506" s="7" t="s">
        <v>16</v>
      </c>
      <c r="H506" s="59" t="str">
        <f>HYPERLINK("http://www.usrc.it/AppRendiConta/det.32_20200120.pdf","Determinazione USRC n.32 del 2020.pdf")</f>
        <v>Determinazione USRC n.32 del 2020.pdf</v>
      </c>
      <c r="I506" s="12"/>
      <c r="J506" s="12"/>
      <c r="K506" s="12"/>
      <c r="L506" s="12"/>
      <c r="M506" s="12"/>
      <c r="N506" s="12"/>
      <c r="O506" s="12"/>
      <c r="P506" s="12"/>
      <c r="Q506" s="13"/>
      <c r="R506" s="13"/>
      <c r="S506" s="13"/>
      <c r="T506" s="13"/>
      <c r="U506" s="13"/>
      <c r="V506" s="13"/>
    </row>
    <row r="507">
      <c r="A507" s="7" t="s">
        <v>870</v>
      </c>
      <c r="B507" s="7" t="s">
        <v>366</v>
      </c>
      <c r="C507" s="8" t="s">
        <v>367</v>
      </c>
      <c r="D507" s="7" t="s">
        <v>14</v>
      </c>
      <c r="E507" s="46">
        <v>124.72</v>
      </c>
      <c r="F507" s="7" t="s">
        <v>1024</v>
      </c>
      <c r="G507" s="7" t="s">
        <v>16</v>
      </c>
      <c r="H507" s="59" t="str">
        <f>HYPERLINK("http://www.usrc.it/AppRendiConta/det.33_20200120.pdf","Determinazione USRC n.33 del 2020.pdf")</f>
        <v>Determinazione USRC n.33 del 2020.pdf</v>
      </c>
      <c r="I507" s="12"/>
      <c r="J507" s="12"/>
      <c r="K507" s="12"/>
      <c r="L507" s="12"/>
      <c r="M507" s="12"/>
      <c r="N507" s="12"/>
      <c r="O507" s="12"/>
      <c r="P507" s="12"/>
      <c r="Q507" s="13"/>
      <c r="R507" s="13"/>
      <c r="S507" s="13"/>
      <c r="T507" s="13"/>
      <c r="U507" s="13"/>
      <c r="V507" s="13"/>
    </row>
    <row r="508">
      <c r="A508" s="7" t="s">
        <v>910</v>
      </c>
      <c r="B508" s="7" t="s">
        <v>402</v>
      </c>
      <c r="C508" s="8" t="s">
        <v>81</v>
      </c>
      <c r="D508" s="7" t="s">
        <v>32</v>
      </c>
      <c r="E508" s="46">
        <v>168.02</v>
      </c>
      <c r="F508" s="7" t="s">
        <v>1025</v>
      </c>
      <c r="G508" s="7" t="s">
        <v>16</v>
      </c>
      <c r="H508" s="59" t="str">
        <f>HYPERLINK("http://www.usrc.it/AppRendiConta/det.34_20200122.pdf","Determinazione USRC n.34 del 2020.pdf")</f>
        <v>Determinazione USRC n.34 del 2020.pdf</v>
      </c>
      <c r="I508" s="12"/>
      <c r="J508" s="12"/>
      <c r="K508" s="12"/>
      <c r="L508" s="12"/>
      <c r="M508" s="12"/>
      <c r="N508" s="12"/>
      <c r="O508" s="12"/>
      <c r="P508" s="12"/>
      <c r="Q508" s="13"/>
      <c r="R508" s="13"/>
      <c r="S508" s="13"/>
      <c r="T508" s="13"/>
      <c r="U508" s="13"/>
      <c r="V508" s="13"/>
    </row>
    <row r="509">
      <c r="A509" s="7" t="s">
        <v>855</v>
      </c>
      <c r="B509" s="7" t="s">
        <v>96</v>
      </c>
      <c r="C509" s="8" t="s">
        <v>97</v>
      </c>
      <c r="D509" s="7" t="s">
        <v>32</v>
      </c>
      <c r="E509" s="46">
        <v>761.55</v>
      </c>
      <c r="F509" s="7" t="s">
        <v>1026</v>
      </c>
      <c r="G509" s="7" t="s">
        <v>16</v>
      </c>
      <c r="H509" s="59" t="str">
        <f>HYPERLINK("http://www.usrc.it/AppRendiConta/det.35_20200122.pdf","Determinazione USRC n.35 del 2020.pdf")</f>
        <v>Determinazione USRC n.35 del 2020.pdf</v>
      </c>
      <c r="I509" s="12"/>
      <c r="J509" s="12"/>
      <c r="K509" s="12"/>
      <c r="L509" s="12"/>
      <c r="M509" s="12"/>
      <c r="N509" s="12"/>
      <c r="O509" s="12"/>
      <c r="P509" s="12"/>
      <c r="Q509" s="13"/>
      <c r="R509" s="13"/>
      <c r="S509" s="13"/>
      <c r="T509" s="13"/>
      <c r="U509" s="13"/>
      <c r="V509" s="13"/>
    </row>
    <row r="510">
      <c r="A510" s="7" t="s">
        <v>1027</v>
      </c>
      <c r="B510" s="7" t="s">
        <v>1028</v>
      </c>
      <c r="C510" s="8" t="s">
        <v>1029</v>
      </c>
      <c r="D510" s="7" t="s">
        <v>14</v>
      </c>
      <c r="E510" s="46">
        <v>3298.75</v>
      </c>
      <c r="F510" s="7" t="s">
        <v>1030</v>
      </c>
      <c r="G510" s="7" t="s">
        <v>16</v>
      </c>
      <c r="H510" s="59" t="str">
        <f>HYPERLINK("http://www.usrc.it/AppRendiConta/det.36_20200122.pdf","Determinazione USRC n.36 del 2020.pdf")</f>
        <v>Determinazione USRC n.36 del 2020.pdf</v>
      </c>
      <c r="I510" s="12"/>
      <c r="J510" s="12"/>
      <c r="K510" s="12"/>
      <c r="L510" s="12"/>
      <c r="M510" s="12"/>
      <c r="N510" s="12"/>
      <c r="O510" s="12"/>
      <c r="P510" s="12"/>
      <c r="Q510" s="13"/>
      <c r="R510" s="13"/>
      <c r="S510" s="13"/>
      <c r="T510" s="13"/>
      <c r="U510" s="13"/>
      <c r="V510" s="13"/>
    </row>
    <row r="511">
      <c r="A511" s="7" t="s">
        <v>696</v>
      </c>
      <c r="B511" s="54" t="s">
        <v>954</v>
      </c>
      <c r="C511" s="8" t="s">
        <v>1031</v>
      </c>
      <c r="D511" s="7" t="s">
        <v>14</v>
      </c>
      <c r="E511" s="46">
        <v>281.35</v>
      </c>
      <c r="F511" s="61" t="s">
        <v>1032</v>
      </c>
      <c r="G511" s="7" t="s">
        <v>16</v>
      </c>
      <c r="H511" s="59" t="str">
        <f>HYPERLINK("http://www.usrc.it/AppRendiConta/det.59_20200205.pdf","Determinazione USRC n.59 del 2020.pdf")</f>
        <v>Determinazione USRC n.59 del 2020.pdf</v>
      </c>
      <c r="I511" s="12"/>
      <c r="J511" s="12"/>
      <c r="K511" s="12"/>
      <c r="L511" s="12"/>
      <c r="M511" s="12"/>
      <c r="N511" s="12"/>
      <c r="O511" s="12"/>
      <c r="P511" s="12"/>
      <c r="Q511" s="13"/>
      <c r="R511" s="13"/>
      <c r="S511" s="13"/>
      <c r="T511" s="13"/>
      <c r="U511" s="13"/>
      <c r="V511" s="13"/>
    </row>
    <row r="512">
      <c r="A512" s="7" t="s">
        <v>696</v>
      </c>
      <c r="B512" s="54" t="s">
        <v>952</v>
      </c>
      <c r="C512" s="8" t="s">
        <v>1031</v>
      </c>
      <c r="D512" s="7" t="s">
        <v>14</v>
      </c>
      <c r="E512" s="46">
        <v>1131.2</v>
      </c>
      <c r="F512" s="61" t="s">
        <v>1033</v>
      </c>
      <c r="G512" s="7" t="s">
        <v>16</v>
      </c>
      <c r="H512" s="59" t="str">
        <f>HYPERLINK("http://www.usrc.it/AppRendiConta/det.60_20200205.pdf","Determinazione USRC n.60 del 2020.pdf")</f>
        <v>Determinazione USRC n.60 del 2020.pdf</v>
      </c>
      <c r="I512" s="12"/>
      <c r="J512" s="12"/>
      <c r="K512" s="12"/>
      <c r="L512" s="12"/>
      <c r="M512" s="12"/>
      <c r="N512" s="12"/>
      <c r="O512" s="12"/>
      <c r="P512" s="12"/>
      <c r="Q512" s="13"/>
      <c r="R512" s="13"/>
      <c r="S512" s="13"/>
      <c r="T512" s="13"/>
      <c r="U512" s="13"/>
      <c r="V512" s="13"/>
    </row>
    <row r="513">
      <c r="A513" s="7" t="s">
        <v>1034</v>
      </c>
      <c r="B513" s="7" t="s">
        <v>350</v>
      </c>
      <c r="C513" s="8" t="s">
        <v>298</v>
      </c>
      <c r="D513" s="7" t="s">
        <v>32</v>
      </c>
      <c r="E513" s="46">
        <v>10777.2</v>
      </c>
      <c r="F513" s="61" t="s">
        <v>1035</v>
      </c>
      <c r="G513" s="7" t="s">
        <v>16</v>
      </c>
      <c r="H513" s="59" t="str">
        <f>HYPERLINK("http://www.usrc.it/AppRendiConta/det.61_20200205.pdf","Determinazione USRC n.61 del 2020.pdf")</f>
        <v>Determinazione USRC n.61 del 2020.pdf</v>
      </c>
      <c r="I513" s="12"/>
      <c r="J513" s="12"/>
      <c r="K513" s="12"/>
      <c r="L513" s="12"/>
      <c r="M513" s="12"/>
      <c r="N513" s="12"/>
      <c r="O513" s="12"/>
      <c r="P513" s="12"/>
      <c r="Q513" s="13"/>
      <c r="R513" s="13"/>
      <c r="S513" s="13"/>
      <c r="T513" s="13"/>
      <c r="U513" s="13"/>
      <c r="V513" s="13"/>
    </row>
    <row r="514">
      <c r="A514" s="7" t="s">
        <v>855</v>
      </c>
      <c r="B514" s="7" t="s">
        <v>96</v>
      </c>
      <c r="C514" s="8" t="s">
        <v>97</v>
      </c>
      <c r="D514" s="7" t="s">
        <v>32</v>
      </c>
      <c r="E514" s="46">
        <v>1409.87</v>
      </c>
      <c r="F514" s="61" t="s">
        <v>1036</v>
      </c>
      <c r="G514" s="7" t="s">
        <v>16</v>
      </c>
      <c r="H514" s="59" t="str">
        <f>HYPERLINK("http://www.usrc.it/AppRendiConta/det.62_20200205.pdf","Determinazione USRC n.62 del 2020.pdf")</f>
        <v>Determinazione USRC n.62 del 2020.pdf</v>
      </c>
      <c r="I514" s="12"/>
      <c r="J514" s="12"/>
      <c r="K514" s="12"/>
      <c r="L514" s="12"/>
      <c r="M514" s="12"/>
      <c r="N514" s="12"/>
      <c r="O514" s="12"/>
      <c r="P514" s="12"/>
      <c r="Q514" s="13"/>
      <c r="R514" s="13"/>
      <c r="S514" s="13"/>
      <c r="T514" s="13"/>
      <c r="U514" s="13"/>
      <c r="V514" s="13"/>
    </row>
    <row r="515">
      <c r="A515" s="54"/>
      <c r="B515" s="7" t="s">
        <v>1037</v>
      </c>
      <c r="C515" s="63" t="s">
        <v>1038</v>
      </c>
      <c r="D515" s="7" t="s">
        <v>14</v>
      </c>
      <c r="E515" s="46">
        <v>59.54</v>
      </c>
      <c r="F515" s="61" t="s">
        <v>1039</v>
      </c>
      <c r="G515" s="7" t="s">
        <v>16</v>
      </c>
      <c r="H515" s="59" t="str">
        <f>HYPERLINK("http://www.usrc.it/AppRendiConta/det.87_20200214.pdf","Determinazione USRC n.87 del 2020.pdf")</f>
        <v>Determinazione USRC n.87 del 2020.pdf</v>
      </c>
      <c r="I515" s="12"/>
      <c r="J515" s="12"/>
      <c r="K515" s="12"/>
      <c r="L515" s="12"/>
      <c r="M515" s="12"/>
      <c r="N515" s="12"/>
      <c r="O515" s="12"/>
      <c r="P515" s="12"/>
      <c r="Q515" s="13"/>
      <c r="R515" s="13"/>
      <c r="S515" s="13"/>
      <c r="T515" s="13"/>
      <c r="U515" s="13"/>
      <c r="V515" s="13"/>
    </row>
    <row r="516">
      <c r="A516" s="54" t="s">
        <v>910</v>
      </c>
      <c r="B516" s="7" t="s">
        <v>402</v>
      </c>
      <c r="C516" s="8" t="s">
        <v>81</v>
      </c>
      <c r="D516" s="7" t="s">
        <v>32</v>
      </c>
      <c r="E516" s="46">
        <v>128.74</v>
      </c>
      <c r="F516" s="61" t="s">
        <v>1040</v>
      </c>
      <c r="G516" s="7" t="s">
        <v>16</v>
      </c>
      <c r="H516" s="59" t="str">
        <f>HYPERLINK("http://www.usrc.it/AppRendiConta/det.95_20200219.pdf","Determinazione USRC n.95 del 2020.pdf")</f>
        <v>Determinazione USRC n.95 del 2020.pdf</v>
      </c>
      <c r="I516" s="12"/>
      <c r="J516" s="12"/>
      <c r="K516" s="12"/>
      <c r="L516" s="12"/>
      <c r="M516" s="12"/>
      <c r="N516" s="12"/>
      <c r="O516" s="12"/>
      <c r="P516" s="12"/>
      <c r="Q516" s="13"/>
      <c r="R516" s="13"/>
      <c r="S516" s="13"/>
      <c r="T516" s="13"/>
      <c r="U516" s="13"/>
      <c r="V516" s="13"/>
    </row>
    <row r="517">
      <c r="A517" s="7" t="s">
        <v>1041</v>
      </c>
      <c r="B517" s="7" t="s">
        <v>1042</v>
      </c>
      <c r="C517" s="8" t="s">
        <v>1013</v>
      </c>
      <c r="D517" s="7" t="s">
        <v>32</v>
      </c>
      <c r="E517" s="46">
        <v>456.62</v>
      </c>
      <c r="F517" s="61" t="s">
        <v>1043</v>
      </c>
      <c r="G517" s="7" t="s">
        <v>16</v>
      </c>
      <c r="H517" s="59" t="str">
        <f>HYPERLINK("http://www.usrc.it/AppRendiConta/det.96_20200219.pdf","Determinazione USRC n.96 del 2020.pdf")</f>
        <v>Determinazione USRC n.96 del 2020.pdf</v>
      </c>
      <c r="I517" s="12"/>
      <c r="J517" s="12"/>
      <c r="K517" s="12"/>
      <c r="L517" s="12"/>
      <c r="M517" s="12"/>
      <c r="N517" s="12"/>
      <c r="O517" s="12"/>
      <c r="P517" s="12"/>
      <c r="Q517" s="13"/>
      <c r="R517" s="13"/>
      <c r="S517" s="13"/>
      <c r="T517" s="13"/>
      <c r="U517" s="13"/>
      <c r="V517" s="13"/>
    </row>
    <row r="518">
      <c r="A518" s="7" t="s">
        <v>1044</v>
      </c>
      <c r="B518" s="7" t="s">
        <v>1045</v>
      </c>
      <c r="C518" s="8" t="s">
        <v>1046</v>
      </c>
      <c r="D518" s="7" t="s">
        <v>32</v>
      </c>
      <c r="E518" s="46">
        <v>337.5</v>
      </c>
      <c r="F518" s="61" t="s">
        <v>1047</v>
      </c>
      <c r="G518" s="7" t="s">
        <v>16</v>
      </c>
      <c r="H518" s="59" t="str">
        <f>HYPERLINK("http://www.usrc.it/AppRendiConta/det.97_20200219.pdf","Determinazione USRC n.97 del 2020.pdf")</f>
        <v>Determinazione USRC n.97 del 2020.pdf</v>
      </c>
      <c r="I518" s="12"/>
      <c r="J518" s="12"/>
      <c r="K518" s="12"/>
      <c r="L518" s="12"/>
      <c r="M518" s="12"/>
      <c r="N518" s="12"/>
      <c r="O518" s="12"/>
      <c r="P518" s="12"/>
      <c r="Q518" s="13"/>
      <c r="R518" s="13"/>
      <c r="S518" s="13"/>
      <c r="T518" s="13"/>
      <c r="U518" s="13"/>
      <c r="V518" s="13"/>
    </row>
    <row r="519">
      <c r="A519" s="7" t="s">
        <v>971</v>
      </c>
      <c r="B519" s="7" t="s">
        <v>972</v>
      </c>
      <c r="C519" s="8" t="s">
        <v>973</v>
      </c>
      <c r="D519" s="7" t="s">
        <v>14</v>
      </c>
      <c r="E519" s="46">
        <v>3466.32</v>
      </c>
      <c r="F519" s="7" t="s">
        <v>1048</v>
      </c>
      <c r="G519" s="7" t="s">
        <v>16</v>
      </c>
      <c r="H519" s="59" t="str">
        <f>HYPERLINK("http://www.usrc.it/AppRendiConta/det.98_20200219.pdf","Determinazione USRC n.98 del 2020.pdf")</f>
        <v>Determinazione USRC n.98 del 2020.pdf</v>
      </c>
      <c r="I519" s="12"/>
      <c r="J519" s="12"/>
      <c r="K519" s="12"/>
      <c r="L519" s="12"/>
      <c r="M519" s="12"/>
      <c r="N519" s="12"/>
      <c r="O519" s="12"/>
      <c r="P519" s="12"/>
      <c r="Q519" s="13"/>
      <c r="R519" s="13"/>
      <c r="S519" s="13"/>
      <c r="T519" s="13"/>
      <c r="U519" s="13"/>
      <c r="V519" s="13"/>
    </row>
    <row r="520">
      <c r="A520" s="54" t="s">
        <v>945</v>
      </c>
      <c r="B520" s="7" t="s">
        <v>617</v>
      </c>
      <c r="C520" s="8" t="s">
        <v>618</v>
      </c>
      <c r="D520" s="7" t="s">
        <v>32</v>
      </c>
      <c r="E520" s="46">
        <v>764.94</v>
      </c>
      <c r="F520" s="7" t="s">
        <v>1049</v>
      </c>
      <c r="G520" s="7" t="s">
        <v>16</v>
      </c>
      <c r="H520" s="59" t="str">
        <f>HYPERLINK("http://www.usrc.it/AppRendiConta/det.147_20200309.pdf","Determinazione USRC n.147 del 2020.pdf")</f>
        <v>Determinazione USRC n.147 del 2020.pdf</v>
      </c>
      <c r="I520" s="12"/>
      <c r="J520" s="12"/>
      <c r="K520" s="12"/>
      <c r="L520" s="12"/>
      <c r="M520" s="12"/>
      <c r="N520" s="12"/>
      <c r="O520" s="12"/>
      <c r="P520" s="12"/>
      <c r="Q520" s="13"/>
      <c r="R520" s="13"/>
      <c r="S520" s="13"/>
      <c r="T520" s="13"/>
      <c r="U520" s="13"/>
      <c r="V520" s="13"/>
    </row>
    <row r="521">
      <c r="A521" s="7" t="s">
        <v>1050</v>
      </c>
      <c r="B521" s="7" t="s">
        <v>728</v>
      </c>
      <c r="C521" s="8" t="s">
        <v>729</v>
      </c>
      <c r="D521" s="7" t="s">
        <v>32</v>
      </c>
      <c r="E521" s="46">
        <v>8196.71</v>
      </c>
      <c r="F521" s="7" t="s">
        <v>1051</v>
      </c>
      <c r="G521" s="7" t="s">
        <v>16</v>
      </c>
      <c r="H521" s="59" t="str">
        <f>HYPERLINK("http://www.usrc.it/AppRendiConta/det.148_20200309.pdf","Determinazione USRC n.148 del 2020.pdf")</f>
        <v>Determinazione USRC n.148 del 2020.pdf</v>
      </c>
      <c r="I521" s="12"/>
      <c r="J521" s="12"/>
      <c r="K521" s="12"/>
      <c r="L521" s="12"/>
      <c r="M521" s="12"/>
      <c r="N521" s="12"/>
      <c r="O521" s="12"/>
      <c r="P521" s="12"/>
      <c r="Q521" s="13"/>
      <c r="R521" s="13"/>
      <c r="S521" s="13"/>
      <c r="T521" s="13"/>
      <c r="U521" s="13"/>
      <c r="V521" s="13"/>
    </row>
    <row r="522">
      <c r="A522" s="7" t="s">
        <v>926</v>
      </c>
      <c r="B522" s="7" t="s">
        <v>927</v>
      </c>
      <c r="C522" s="8" t="s">
        <v>928</v>
      </c>
      <c r="D522" s="7" t="s">
        <v>14</v>
      </c>
      <c r="E522" s="46">
        <f>1267.93+974.27</f>
        <v>2242.2</v>
      </c>
      <c r="F522" s="7" t="s">
        <v>1052</v>
      </c>
      <c r="G522" s="7" t="s">
        <v>16</v>
      </c>
      <c r="H522" s="59" t="str">
        <f>HYPERLINK("http://www.usrc.it/AppRendiConta/det.149_202003109.pdf","Determinazione USRC n.149 del 2020.pdf")</f>
        <v>Determinazione USRC n.149 del 2020.pdf</v>
      </c>
      <c r="I522" s="12"/>
      <c r="J522" s="12"/>
      <c r="K522" s="12"/>
      <c r="L522" s="12"/>
      <c r="M522" s="12"/>
      <c r="N522" s="12"/>
      <c r="O522" s="12"/>
      <c r="P522" s="12"/>
      <c r="Q522" s="13"/>
      <c r="R522" s="13"/>
      <c r="S522" s="13"/>
      <c r="T522" s="13"/>
      <c r="U522" s="13"/>
      <c r="V522" s="13"/>
    </row>
    <row r="523">
      <c r="A523" s="7" t="s">
        <v>984</v>
      </c>
      <c r="B523" s="7" t="s">
        <v>985</v>
      </c>
      <c r="C523" s="8" t="s">
        <v>69</v>
      </c>
      <c r="D523" s="7" t="s">
        <v>14</v>
      </c>
      <c r="E523" s="46">
        <v>172.27</v>
      </c>
      <c r="F523" s="7" t="s">
        <v>1053</v>
      </c>
      <c r="G523" s="7" t="s">
        <v>16</v>
      </c>
      <c r="H523" s="59" t="str">
        <f>HYPERLINK("http://www.usrc.it/AppRendiConta/det.150_20200309.pdf","Determinazione USRC n.150 del 2020.pdf")</f>
        <v>Determinazione USRC n.150 del 2020.pdf</v>
      </c>
      <c r="I523" s="12"/>
      <c r="J523" s="12"/>
      <c r="K523" s="12"/>
      <c r="L523" s="12"/>
      <c r="M523" s="12"/>
      <c r="N523" s="12"/>
      <c r="O523" s="12"/>
      <c r="P523" s="12"/>
      <c r="Q523" s="13"/>
      <c r="R523" s="13"/>
      <c r="S523" s="13"/>
      <c r="T523" s="13"/>
      <c r="U523" s="13"/>
      <c r="V523" s="13"/>
    </row>
    <row r="524">
      <c r="A524" s="7" t="s">
        <v>514</v>
      </c>
      <c r="B524" s="7" t="s">
        <v>515</v>
      </c>
      <c r="C524" s="8" t="s">
        <v>69</v>
      </c>
      <c r="D524" s="7" t="s">
        <v>14</v>
      </c>
      <c r="E524" s="46">
        <v>126.6</v>
      </c>
      <c r="F524" s="7" t="s">
        <v>1054</v>
      </c>
      <c r="G524" s="7" t="s">
        <v>16</v>
      </c>
      <c r="H524" s="59" t="str">
        <f>HYPERLINK("http://www.usrc.it/AppRendiConta/det.151_20200309.pdf","Determinazione USRC n.151 del 2020.pdf")</f>
        <v>Determinazione USRC n.151 del 2020.pdf</v>
      </c>
      <c r="I524" s="12"/>
      <c r="J524" s="12"/>
      <c r="K524" s="12"/>
      <c r="L524" s="12"/>
      <c r="M524" s="12"/>
      <c r="N524" s="12"/>
      <c r="O524" s="12"/>
      <c r="P524" s="12"/>
      <c r="Q524" s="13"/>
      <c r="R524" s="13"/>
      <c r="S524" s="13"/>
      <c r="T524" s="13"/>
      <c r="U524" s="13"/>
      <c r="V524" s="13"/>
    </row>
    <row r="525">
      <c r="A525" s="7" t="s">
        <v>517</v>
      </c>
      <c r="B525" s="7" t="s">
        <v>518</v>
      </c>
      <c r="C525" s="8" t="s">
        <v>69</v>
      </c>
      <c r="D525" s="7" t="s">
        <v>14</v>
      </c>
      <c r="E525" s="46">
        <v>988.99</v>
      </c>
      <c r="F525" s="7" t="s">
        <v>1055</v>
      </c>
      <c r="G525" s="7" t="s">
        <v>419</v>
      </c>
      <c r="H525" s="59" t="str">
        <f>HYPERLINK("http://www.usrc.it/AppRendiConta/det.180_20200316.pdf","Determinazione USRC n.180 del 2020.pdf")</f>
        <v>Determinazione USRC n.180 del 2020.pdf</v>
      </c>
      <c r="I525" s="12"/>
      <c r="J525" s="12"/>
      <c r="K525" s="12"/>
      <c r="L525" s="12"/>
      <c r="M525" s="12"/>
      <c r="N525" s="12"/>
      <c r="O525" s="12"/>
      <c r="P525" s="12"/>
      <c r="Q525" s="13"/>
      <c r="R525" s="13"/>
      <c r="S525" s="13"/>
      <c r="T525" s="13"/>
      <c r="U525" s="13"/>
      <c r="V525" s="13"/>
    </row>
    <row r="526">
      <c r="A526" s="7" t="s">
        <v>910</v>
      </c>
      <c r="B526" s="7" t="s">
        <v>402</v>
      </c>
      <c r="C526" s="8" t="s">
        <v>81</v>
      </c>
      <c r="D526" s="7" t="s">
        <v>32</v>
      </c>
      <c r="E526" s="46">
        <v>220.68</v>
      </c>
      <c r="F526" s="7" t="s">
        <v>1056</v>
      </c>
      <c r="G526" s="7" t="s">
        <v>16</v>
      </c>
      <c r="H526" s="59" t="str">
        <f>HYPERLINK("http://www.usrc.it/AppRendiConta/det.180_20200316.pdf","Determinazione USRC n.181 del 2020.pdf")</f>
        <v>Determinazione USRC n.181 del 2020.pdf</v>
      </c>
      <c r="I526" s="12"/>
      <c r="J526" s="12"/>
      <c r="K526" s="12"/>
      <c r="L526" s="12"/>
      <c r="M526" s="12"/>
      <c r="N526" s="12"/>
      <c r="O526" s="12"/>
      <c r="P526" s="12"/>
      <c r="Q526" s="13"/>
      <c r="R526" s="13"/>
      <c r="S526" s="13"/>
      <c r="T526" s="13"/>
      <c r="U526" s="13"/>
      <c r="V526" s="13"/>
    </row>
    <row r="527">
      <c r="A527" s="7" t="s">
        <v>1057</v>
      </c>
      <c r="B527" s="7" t="s">
        <v>96</v>
      </c>
      <c r="C527" s="8" t="s">
        <v>97</v>
      </c>
      <c r="D527" s="7" t="s">
        <v>32</v>
      </c>
      <c r="E527" s="46">
        <v>1368.96</v>
      </c>
      <c r="F527" s="7" t="s">
        <v>1058</v>
      </c>
      <c r="G527" s="7" t="s">
        <v>16</v>
      </c>
      <c r="H527" s="59" t="str">
        <f>HYPERLINK("http://www.usrc.it/AppRendiConta/det.182_20200316.pdf","Determinazione USRC n.182 del 2020.pdf")</f>
        <v>Determinazione USRC n.182 del 2020.pdf</v>
      </c>
      <c r="I527" s="12"/>
      <c r="J527" s="12"/>
      <c r="K527" s="12"/>
      <c r="L527" s="12"/>
      <c r="M527" s="12"/>
      <c r="N527" s="12"/>
      <c r="O527" s="12"/>
      <c r="P527" s="12"/>
      <c r="Q527" s="13"/>
      <c r="R527" s="13"/>
      <c r="S527" s="13"/>
      <c r="T527" s="13"/>
      <c r="U527" s="13"/>
      <c r="V527" s="13"/>
    </row>
    <row r="528">
      <c r="A528" s="7" t="s">
        <v>1059</v>
      </c>
      <c r="B528" s="7" t="s">
        <v>1060</v>
      </c>
      <c r="C528" s="8" t="s">
        <v>1061</v>
      </c>
      <c r="D528" s="7" t="s">
        <v>32</v>
      </c>
      <c r="E528" s="46">
        <v>32.79</v>
      </c>
      <c r="F528" s="7" t="s">
        <v>1062</v>
      </c>
      <c r="G528" s="7" t="s">
        <v>16</v>
      </c>
      <c r="H528" s="59" t="str">
        <f>HYPERLINK("http://www.usrc.it/AppRendiConta/det.183_20200316.pdf","Determinazione USRC n.183 del 2020.pdf")</f>
        <v>Determinazione USRC n.183 del 2020.pdf</v>
      </c>
      <c r="I528" s="12"/>
      <c r="J528" s="12"/>
      <c r="K528" s="12"/>
      <c r="L528" s="12"/>
      <c r="M528" s="12"/>
      <c r="N528" s="12"/>
      <c r="O528" s="12"/>
      <c r="P528" s="12"/>
      <c r="Q528" s="13"/>
      <c r="R528" s="13"/>
      <c r="S528" s="13"/>
      <c r="T528" s="13"/>
      <c r="U528" s="13"/>
      <c r="V528" s="13"/>
    </row>
    <row r="529">
      <c r="A529" s="7" t="s">
        <v>870</v>
      </c>
      <c r="B529" s="7" t="s">
        <v>366</v>
      </c>
      <c r="C529" s="8" t="s">
        <v>367</v>
      </c>
      <c r="D529" s="7" t="s">
        <v>14</v>
      </c>
      <c r="E529" s="46">
        <v>74.06</v>
      </c>
      <c r="F529" s="7" t="s">
        <v>1063</v>
      </c>
      <c r="G529" s="7" t="s">
        <v>16</v>
      </c>
      <c r="H529" s="59" t="str">
        <f>HYPERLINK("http://www.usrc.it/AppRendiConta/det.184_20200316.pdf","Determinazione USRC n.184 del 2020.pdf")</f>
        <v>Determinazione USRC n.184 del 2020.pdf</v>
      </c>
      <c r="I529" s="12"/>
      <c r="J529" s="12"/>
      <c r="K529" s="12"/>
      <c r="L529" s="12"/>
      <c r="M529" s="12"/>
      <c r="N529" s="12"/>
      <c r="O529" s="12"/>
      <c r="P529" s="12"/>
      <c r="Q529" s="13"/>
      <c r="R529" s="13"/>
      <c r="S529" s="13"/>
      <c r="T529" s="13"/>
      <c r="U529" s="13"/>
      <c r="V529" s="13"/>
    </row>
    <row r="530">
      <c r="A530" s="7" t="s">
        <v>1064</v>
      </c>
      <c r="B530" s="7" t="s">
        <v>559</v>
      </c>
      <c r="C530" s="8" t="s">
        <v>560</v>
      </c>
      <c r="D530" s="7" t="s">
        <v>14</v>
      </c>
      <c r="E530" s="46">
        <v>48.0</v>
      </c>
      <c r="F530" s="7" t="s">
        <v>1065</v>
      </c>
      <c r="G530" s="7" t="s">
        <v>16</v>
      </c>
      <c r="H530" s="59" t="str">
        <f>HYPERLINK("http://www.usrc.it/AppRendiConta/det.185_20200316.pdf","Determinazione USRC n.185 del 2020.pdf")</f>
        <v>Determinazione USRC n.185 del 2020.pdf</v>
      </c>
      <c r="I530" s="12"/>
      <c r="J530" s="12"/>
      <c r="K530" s="12"/>
      <c r="L530" s="12"/>
      <c r="M530" s="12"/>
      <c r="N530" s="12"/>
      <c r="O530" s="12"/>
      <c r="P530" s="12"/>
      <c r="Q530" s="13"/>
      <c r="R530" s="13"/>
      <c r="S530" s="13"/>
      <c r="T530" s="13"/>
      <c r="U530" s="13"/>
      <c r="V530" s="13"/>
    </row>
    <row r="531">
      <c r="A531" s="7" t="s">
        <v>1066</v>
      </c>
      <c r="B531" s="64" t="s">
        <v>500</v>
      </c>
      <c r="C531" s="65" t="s">
        <v>501</v>
      </c>
      <c r="D531" s="66" t="s">
        <v>14</v>
      </c>
      <c r="E531" s="67">
        <v>3855.75</v>
      </c>
      <c r="F531" s="61" t="s">
        <v>1067</v>
      </c>
      <c r="G531" s="66" t="s">
        <v>16</v>
      </c>
      <c r="H531" s="59" t="str">
        <f>HYPERLINK("http://www.usrc.it/AppRendiConta/det.206_20200327.pdf","Determinazione USRC n.206 del 2020.pdf")</f>
        <v>Determinazione USRC n.206 del 2020.pdf</v>
      </c>
      <c r="I531" s="12"/>
      <c r="J531" s="12"/>
      <c r="K531" s="12"/>
      <c r="L531" s="12"/>
      <c r="M531" s="12"/>
      <c r="N531" s="12"/>
      <c r="O531" s="12"/>
      <c r="P531" s="12"/>
      <c r="Q531" s="13"/>
      <c r="R531" s="13"/>
      <c r="S531" s="13"/>
      <c r="T531" s="13"/>
      <c r="U531" s="13"/>
      <c r="V531" s="13"/>
    </row>
    <row r="532">
      <c r="A532" s="68" t="s">
        <v>1068</v>
      </c>
      <c r="B532" s="41" t="s">
        <v>1069</v>
      </c>
      <c r="C532" s="40" t="s">
        <v>1070</v>
      </c>
      <c r="D532" s="41" t="s">
        <v>14</v>
      </c>
      <c r="E532" s="55">
        <v>1367.13</v>
      </c>
      <c r="F532" s="69" t="s">
        <v>1071</v>
      </c>
      <c r="G532" s="41" t="s">
        <v>16</v>
      </c>
      <c r="H532" s="59" t="str">
        <f>HYPERLINK("http://www.usrc.it/AppRendiConta/det.207_20200327.pdf","Determinazione USRC n.207 del 2020.pdf")</f>
        <v>Determinazione USRC n.207 del 2020.pdf</v>
      </c>
      <c r="I532" s="12"/>
      <c r="J532" s="12"/>
      <c r="K532" s="12"/>
      <c r="L532" s="12"/>
      <c r="M532" s="12"/>
      <c r="N532" s="12"/>
      <c r="O532" s="12"/>
      <c r="P532" s="12"/>
      <c r="Q532" s="13"/>
      <c r="R532" s="13"/>
      <c r="S532" s="13"/>
      <c r="T532" s="13"/>
      <c r="U532" s="13"/>
      <c r="V532" s="13"/>
    </row>
    <row r="533">
      <c r="A533" s="68" t="s">
        <v>1068</v>
      </c>
      <c r="B533" s="41" t="s">
        <v>1069</v>
      </c>
      <c r="C533" s="40" t="s">
        <v>1070</v>
      </c>
      <c r="D533" s="41" t="s">
        <v>14</v>
      </c>
      <c r="E533" s="55">
        <v>7090.95</v>
      </c>
      <c r="F533" s="69" t="s">
        <v>1072</v>
      </c>
      <c r="G533" s="41" t="s">
        <v>16</v>
      </c>
      <c r="H533" s="59" t="str">
        <f>HYPERLINK("http://www.usrc.it/AppRendiConta/det.208_20200327.pdf","Determinazione USRC n.208 del 2020.pdf")</f>
        <v>Determinazione USRC n.208 del 2020.pdf</v>
      </c>
      <c r="I533" s="12"/>
      <c r="J533" s="12"/>
      <c r="K533" s="12"/>
      <c r="L533" s="12"/>
      <c r="M533" s="12"/>
      <c r="N533" s="12"/>
      <c r="O533" s="12"/>
      <c r="P533" s="12"/>
      <c r="Q533" s="13"/>
      <c r="R533" s="13"/>
      <c r="S533" s="13"/>
      <c r="T533" s="13"/>
      <c r="U533" s="13"/>
      <c r="V533" s="13"/>
    </row>
    <row r="534">
      <c r="A534" s="68" t="s">
        <v>1073</v>
      </c>
      <c r="B534" s="41" t="s">
        <v>702</v>
      </c>
      <c r="C534" s="40" t="s">
        <v>115</v>
      </c>
      <c r="D534" s="41" t="s">
        <v>14</v>
      </c>
      <c r="E534" s="55">
        <v>8353.26</v>
      </c>
      <c r="F534" s="69" t="s">
        <v>1074</v>
      </c>
      <c r="G534" s="41" t="s">
        <v>16</v>
      </c>
      <c r="H534" s="59" t="str">
        <f>HYPERLINK("http://www.usrc.it/AppRendiConta/det.209_20200327.pdf","Determinazione USRC n.209 del 2020.pdf")</f>
        <v>Determinazione USRC n.209 del 2020.pdf</v>
      </c>
      <c r="I534" s="12"/>
      <c r="J534" s="12"/>
      <c r="K534" s="12"/>
      <c r="L534" s="12"/>
      <c r="M534" s="12"/>
      <c r="N534" s="12"/>
      <c r="O534" s="12"/>
      <c r="P534" s="12"/>
      <c r="Q534" s="13"/>
      <c r="R534" s="13"/>
      <c r="S534" s="13"/>
      <c r="T534" s="13"/>
      <c r="U534" s="13"/>
      <c r="V534" s="13"/>
    </row>
    <row r="535">
      <c r="A535" s="68" t="s">
        <v>657</v>
      </c>
      <c r="B535" s="41" t="s">
        <v>702</v>
      </c>
      <c r="C535" s="40" t="s">
        <v>115</v>
      </c>
      <c r="D535" s="41" t="s">
        <v>14</v>
      </c>
      <c r="E535" s="55">
        <v>4810.0</v>
      </c>
      <c r="F535" s="69" t="s">
        <v>1075</v>
      </c>
      <c r="G535" s="41" t="s">
        <v>16</v>
      </c>
      <c r="H535" s="59" t="str">
        <f>HYPERLINK("http://www.usrc.it/AppRendiConta/det.210_20200327.pdf","Determinazione USRC n.210 del 2020.pdf")</f>
        <v>Determinazione USRC n.210 del 2020.pdf</v>
      </c>
      <c r="I535" s="12"/>
      <c r="J535" s="12"/>
      <c r="K535" s="12"/>
      <c r="L535" s="12"/>
      <c r="M535" s="12"/>
      <c r="N535" s="12"/>
      <c r="O535" s="12"/>
      <c r="P535" s="12"/>
      <c r="Q535" s="13"/>
      <c r="R535" s="13"/>
      <c r="S535" s="13"/>
      <c r="T535" s="13"/>
      <c r="U535" s="13"/>
      <c r="V535" s="13"/>
    </row>
    <row r="536">
      <c r="A536" s="68" t="s">
        <v>1073</v>
      </c>
      <c r="B536" s="41" t="s">
        <v>702</v>
      </c>
      <c r="C536" s="40" t="s">
        <v>115</v>
      </c>
      <c r="D536" s="41" t="s">
        <v>14</v>
      </c>
      <c r="E536" s="55">
        <v>4942.59</v>
      </c>
      <c r="F536" s="69" t="s">
        <v>1076</v>
      </c>
      <c r="G536" s="41" t="s">
        <v>16</v>
      </c>
      <c r="H536" s="59" t="str">
        <f>HYPERLINK("http://www.usrc.it/AppRendiConta/det.211_20200327.pdf","Determinazione USRC n.211 del 2020.pdf")</f>
        <v>Determinazione USRC n.211 del 2020.pdf</v>
      </c>
      <c r="I536" s="12"/>
      <c r="J536" s="12"/>
      <c r="K536" s="12"/>
      <c r="L536" s="12"/>
      <c r="M536" s="12"/>
      <c r="N536" s="12"/>
      <c r="O536" s="12"/>
      <c r="P536" s="12"/>
      <c r="Q536" s="13"/>
      <c r="R536" s="13"/>
      <c r="S536" s="13"/>
      <c r="T536" s="13"/>
      <c r="U536" s="13"/>
      <c r="V536" s="13"/>
    </row>
    <row r="537">
      <c r="A537" s="7" t="s">
        <v>1077</v>
      </c>
      <c r="B537" s="70" t="s">
        <v>1078</v>
      </c>
      <c r="C537" s="65" t="s">
        <v>1079</v>
      </c>
      <c r="D537" s="66" t="s">
        <v>14</v>
      </c>
      <c r="E537" s="67">
        <v>12960.0</v>
      </c>
      <c r="F537" s="54" t="s">
        <v>1080</v>
      </c>
      <c r="G537" s="66" t="s">
        <v>16</v>
      </c>
      <c r="H537" s="59" t="str">
        <f>HYPERLINK("http://www.usrc.it/AppRendiConta/det.247_20200410.pdf","Determinazione USRC n.247 del 2020.pdf")</f>
        <v>Determinazione USRC n.247 del 2020.pdf</v>
      </c>
      <c r="I537" s="12"/>
      <c r="J537" s="12"/>
      <c r="K537" s="12"/>
      <c r="L537" s="12"/>
      <c r="M537" s="12"/>
      <c r="N537" s="12"/>
      <c r="O537" s="12"/>
      <c r="P537" s="12"/>
      <c r="Q537" s="13"/>
      <c r="R537" s="13"/>
      <c r="S537" s="13"/>
      <c r="T537" s="13"/>
      <c r="U537" s="13"/>
      <c r="V537" s="13"/>
    </row>
    <row r="538">
      <c r="A538" s="71" t="s">
        <v>1081</v>
      </c>
      <c r="B538" s="41" t="s">
        <v>1082</v>
      </c>
      <c r="C538" s="40" t="s">
        <v>1083</v>
      </c>
      <c r="D538" s="41" t="s">
        <v>32</v>
      </c>
      <c r="E538" s="55">
        <v>1149.0</v>
      </c>
      <c r="F538" s="71" t="s">
        <v>1084</v>
      </c>
      <c r="G538" s="41" t="s">
        <v>16</v>
      </c>
      <c r="H538" s="59" t="str">
        <f>HYPERLINK("http://www.usrc.it/AppRendiConta/det.252_20200414.pdf","Determinazione USRC n.252 del 2020.pdf")</f>
        <v>Determinazione USRC n.252 del 2020.pdf</v>
      </c>
      <c r="I538" s="12"/>
      <c r="J538" s="12"/>
      <c r="K538" s="12"/>
      <c r="L538" s="12"/>
      <c r="M538" s="12"/>
      <c r="N538" s="12"/>
      <c r="O538" s="12"/>
      <c r="P538" s="12"/>
      <c r="Q538" s="13"/>
      <c r="R538" s="13"/>
      <c r="S538" s="13"/>
      <c r="T538" s="13"/>
      <c r="U538" s="13"/>
      <c r="V538" s="13"/>
    </row>
    <row r="539">
      <c r="A539" s="71" t="s">
        <v>1085</v>
      </c>
      <c r="B539" s="41" t="s">
        <v>1082</v>
      </c>
      <c r="C539" s="40" t="s">
        <v>1083</v>
      </c>
      <c r="D539" s="41" t="s">
        <v>32</v>
      </c>
      <c r="E539" s="55">
        <v>395.0</v>
      </c>
      <c r="F539" s="71" t="s">
        <v>1086</v>
      </c>
      <c r="G539" s="41" t="s">
        <v>16</v>
      </c>
      <c r="H539" s="59" t="str">
        <f>HYPERLINK("http://www.usrc.it/AppRendiConta/det.253_20200414.pdf","Determinazione USRC n.253 del 2020.pdf")</f>
        <v>Determinazione USRC n.253 del 2020.pdf</v>
      </c>
      <c r="I539" s="12"/>
      <c r="J539" s="12"/>
      <c r="K539" s="12"/>
      <c r="L539" s="12"/>
      <c r="M539" s="12"/>
      <c r="N539" s="12"/>
      <c r="O539" s="12"/>
      <c r="P539" s="12"/>
      <c r="Q539" s="13"/>
      <c r="R539" s="13"/>
      <c r="S539" s="13"/>
      <c r="T539" s="13"/>
      <c r="U539" s="13"/>
      <c r="V539" s="13"/>
    </row>
    <row r="540">
      <c r="A540" s="54" t="s">
        <v>897</v>
      </c>
      <c r="B540" s="66" t="s">
        <v>346</v>
      </c>
      <c r="C540" s="65" t="s">
        <v>347</v>
      </c>
      <c r="D540" s="66" t="s">
        <v>14</v>
      </c>
      <c r="E540" s="67">
        <v>237.3</v>
      </c>
      <c r="F540" s="54" t="s">
        <v>1087</v>
      </c>
      <c r="G540" s="66" t="s">
        <v>16</v>
      </c>
      <c r="H540" s="59" t="str">
        <f>HYPERLINK("http://www.usrc.it/AppRendiConta/det.268_20200417.pdf","Determinazione USRC n.268 del 2020.pdf")</f>
        <v>Determinazione USRC n.268 del 2020.pdf</v>
      </c>
      <c r="I540" s="12"/>
      <c r="J540" s="12"/>
      <c r="K540" s="12"/>
      <c r="L540" s="12"/>
      <c r="M540" s="12"/>
      <c r="N540" s="12"/>
      <c r="O540" s="12"/>
      <c r="P540" s="12"/>
      <c r="Q540" s="13"/>
      <c r="R540" s="13"/>
      <c r="S540" s="13"/>
      <c r="T540" s="13"/>
      <c r="U540" s="13"/>
      <c r="V540" s="13"/>
    </row>
    <row r="541">
      <c r="A541" s="71" t="s">
        <v>910</v>
      </c>
      <c r="B541" s="41" t="s">
        <v>402</v>
      </c>
      <c r="C541" s="40" t="s">
        <v>81</v>
      </c>
      <c r="D541" s="41" t="s">
        <v>32</v>
      </c>
      <c r="E541" s="55">
        <v>289.03</v>
      </c>
      <c r="F541" s="71" t="s">
        <v>1088</v>
      </c>
      <c r="G541" s="41" t="s">
        <v>16</v>
      </c>
      <c r="H541" s="59" t="str">
        <f>HYPERLINK("http://www.usrc.it/AppRendiConta/det.269_20200417.pdf","Determinazione USRC n.269 del 2020.pdf")</f>
        <v>Determinazione USRC n.269 del 2020.pdf</v>
      </c>
      <c r="I541" s="12"/>
      <c r="J541" s="12"/>
      <c r="K541" s="12"/>
      <c r="L541" s="12"/>
      <c r="M541" s="12"/>
      <c r="N541" s="12"/>
      <c r="O541" s="12"/>
      <c r="P541" s="12"/>
      <c r="Q541" s="13"/>
      <c r="R541" s="13"/>
      <c r="S541" s="13"/>
      <c r="T541" s="13"/>
      <c r="U541" s="13"/>
      <c r="V541" s="13"/>
    </row>
    <row r="542">
      <c r="A542" s="71" t="s">
        <v>945</v>
      </c>
      <c r="B542" s="41" t="s">
        <v>617</v>
      </c>
      <c r="C542" s="40" t="s">
        <v>618</v>
      </c>
      <c r="D542" s="41" t="s">
        <v>32</v>
      </c>
      <c r="E542" s="55">
        <v>1529.88</v>
      </c>
      <c r="F542" s="71" t="s">
        <v>1089</v>
      </c>
      <c r="G542" s="41" t="s">
        <v>16</v>
      </c>
      <c r="H542" s="59" t="str">
        <f>HYPERLINK("http://www.usrc.it/AppRendiConta/det.270_20200417.pdf","Determinazione USRC n.270 del 2020.pdf")</f>
        <v>Determinazione USRC n.270 del 2020.pdf</v>
      </c>
      <c r="I542" s="12"/>
      <c r="J542" s="12"/>
      <c r="K542" s="12"/>
      <c r="L542" s="12"/>
      <c r="M542" s="12"/>
      <c r="N542" s="12"/>
      <c r="O542" s="12"/>
      <c r="P542" s="12"/>
      <c r="Q542" s="13"/>
      <c r="R542" s="13"/>
      <c r="S542" s="13"/>
      <c r="T542" s="13"/>
      <c r="U542" s="13"/>
      <c r="V542" s="13"/>
    </row>
    <row r="543">
      <c r="A543" s="68" t="s">
        <v>696</v>
      </c>
      <c r="B543" s="72" t="s">
        <v>954</v>
      </c>
      <c r="C543" s="40" t="s">
        <v>1031</v>
      </c>
      <c r="D543" s="41" t="s">
        <v>14</v>
      </c>
      <c r="E543" s="55">
        <v>140.68</v>
      </c>
      <c r="F543" s="71" t="s">
        <v>1090</v>
      </c>
      <c r="G543" s="41" t="s">
        <v>16</v>
      </c>
      <c r="H543" s="59" t="str">
        <f>HYPERLINK("http://www.usrc.it/AppRendiConta/det.271_20200417.pdf","Determinazione USRC n.271 del 2020.pdf")</f>
        <v>Determinazione USRC n.271 del 2020.pdf</v>
      </c>
      <c r="I543" s="12"/>
      <c r="J543" s="12"/>
      <c r="K543" s="12"/>
      <c r="L543" s="12"/>
      <c r="M543" s="12"/>
      <c r="N543" s="12"/>
      <c r="O543" s="12"/>
      <c r="P543" s="12"/>
      <c r="Q543" s="13"/>
      <c r="R543" s="13"/>
      <c r="S543" s="13"/>
      <c r="T543" s="13"/>
      <c r="U543" s="13"/>
      <c r="V543" s="13"/>
    </row>
    <row r="544">
      <c r="A544" s="68" t="s">
        <v>696</v>
      </c>
      <c r="B544" s="72" t="s">
        <v>952</v>
      </c>
      <c r="C544" s="40" t="s">
        <v>1031</v>
      </c>
      <c r="D544" s="41" t="s">
        <v>14</v>
      </c>
      <c r="E544" s="55">
        <v>565.6</v>
      </c>
      <c r="F544" s="71" t="s">
        <v>1091</v>
      </c>
      <c r="G544" s="41" t="s">
        <v>16</v>
      </c>
      <c r="H544" s="59" t="str">
        <f>HYPERLINK("http://www.usrc.it/AppRendiConta/det.272_20200417.pdf","Determinazione USRC n.272 del 2020.pdf")</f>
        <v>Determinazione USRC n.272 del 2020.pdf</v>
      </c>
      <c r="I544" s="12"/>
      <c r="J544" s="12"/>
      <c r="K544" s="12"/>
      <c r="L544" s="12"/>
      <c r="M544" s="12"/>
      <c r="N544" s="12"/>
      <c r="O544" s="12"/>
      <c r="P544" s="12"/>
      <c r="Q544" s="13"/>
      <c r="R544" s="13"/>
      <c r="S544" s="13"/>
      <c r="T544" s="13"/>
      <c r="U544" s="13"/>
      <c r="V544" s="13"/>
    </row>
    <row r="545">
      <c r="A545" s="7" t="s">
        <v>1068</v>
      </c>
      <c r="B545" s="66" t="s">
        <v>1069</v>
      </c>
      <c r="C545" s="65" t="s">
        <v>1070</v>
      </c>
      <c r="D545" s="66" t="s">
        <v>14</v>
      </c>
      <c r="E545" s="67">
        <v>3593.13</v>
      </c>
      <c r="F545" s="54" t="s">
        <v>1092</v>
      </c>
      <c r="G545" s="41" t="s">
        <v>16</v>
      </c>
      <c r="H545" s="59" t="str">
        <f>HYPERLINK("http://www.usrc.it/AppRendiConta/det.286_20200423.pdf","Determinazione USRC n.286 del 2020.pdf")</f>
        <v>Determinazione USRC n.286 del 2020.pdf</v>
      </c>
      <c r="I545" s="12"/>
      <c r="J545" s="12"/>
      <c r="K545" s="12"/>
      <c r="L545" s="12"/>
      <c r="M545" s="12"/>
      <c r="N545" s="12"/>
      <c r="O545" s="12"/>
      <c r="P545" s="12"/>
      <c r="Q545" s="13"/>
      <c r="R545" s="13"/>
      <c r="S545" s="13"/>
      <c r="T545" s="13"/>
      <c r="U545" s="13"/>
      <c r="V545" s="13"/>
    </row>
    <row r="546">
      <c r="A546" s="68" t="s">
        <v>415</v>
      </c>
      <c r="B546" s="41" t="s">
        <v>1093</v>
      </c>
      <c r="C546" s="40" t="s">
        <v>1094</v>
      </c>
      <c r="D546" s="41" t="s">
        <v>14</v>
      </c>
      <c r="E546" s="55">
        <v>2991.32</v>
      </c>
      <c r="F546" s="71" t="s">
        <v>1095</v>
      </c>
      <c r="G546" s="41" t="s">
        <v>419</v>
      </c>
      <c r="H546" s="59" t="str">
        <f>HYPERLINK("http://www.usrc.it/AppRendiConta/det.287_20200423.pdf","Determinazione USRC n.287 del 2020.pdf")</f>
        <v>Determinazione USRC n.287 del 2020.pdf</v>
      </c>
      <c r="I546" s="12"/>
      <c r="J546" s="12"/>
      <c r="K546" s="12"/>
      <c r="L546" s="12"/>
      <c r="M546" s="12"/>
      <c r="N546" s="12"/>
      <c r="O546" s="12"/>
      <c r="P546" s="12"/>
      <c r="Q546" s="13"/>
      <c r="R546" s="13"/>
      <c r="S546" s="13"/>
      <c r="T546" s="13"/>
      <c r="U546" s="13"/>
      <c r="V546" s="13"/>
    </row>
    <row r="547">
      <c r="A547" s="7" t="s">
        <v>420</v>
      </c>
      <c r="B547" s="66" t="s">
        <v>1093</v>
      </c>
      <c r="C547" s="65" t="s">
        <v>1094</v>
      </c>
      <c r="D547" s="66" t="s">
        <v>14</v>
      </c>
      <c r="E547" s="67">
        <v>1305.73</v>
      </c>
      <c r="F547" s="54" t="s">
        <v>1096</v>
      </c>
      <c r="G547" s="41" t="s">
        <v>419</v>
      </c>
      <c r="H547" s="59" t="str">
        <f>HYPERLINK("http://www.usrc.it/AppRendiConta/det.288_20200423.pdf","Determinazione USRC n.288 del 2020.pdf")</f>
        <v>Determinazione USRC n.288 del 2020.pdf</v>
      </c>
      <c r="I547" s="12"/>
      <c r="J547" s="12"/>
      <c r="K547" s="12"/>
      <c r="L547" s="12"/>
      <c r="M547" s="12"/>
      <c r="N547" s="12"/>
      <c r="O547" s="12"/>
      <c r="P547" s="12"/>
      <c r="Q547" s="13"/>
      <c r="R547" s="13"/>
      <c r="S547" s="13"/>
      <c r="T547" s="13"/>
      <c r="U547" s="13"/>
      <c r="V547" s="13"/>
    </row>
    <row r="548">
      <c r="A548" s="7" t="s">
        <v>1097</v>
      </c>
      <c r="B548" s="66" t="s">
        <v>1098</v>
      </c>
      <c r="C548" s="65" t="s">
        <v>1099</v>
      </c>
      <c r="D548" s="66" t="s">
        <v>32</v>
      </c>
      <c r="E548" s="67">
        <v>2429.29</v>
      </c>
      <c r="F548" s="54" t="s">
        <v>1100</v>
      </c>
      <c r="G548" s="66" t="s">
        <v>16</v>
      </c>
      <c r="H548" s="59" t="str">
        <f>HYPERLINK("http://www.usrc.it/AppRendiConta/det.300_20200427.pdf","Determinazione USRC n.300 del 2020.pdf")</f>
        <v>Determinazione USRC n.300 del 2020.pdf</v>
      </c>
      <c r="I548" s="12"/>
      <c r="J548" s="12"/>
      <c r="K548" s="12"/>
      <c r="L548" s="12"/>
      <c r="M548" s="12"/>
      <c r="N548" s="12"/>
      <c r="O548" s="12"/>
      <c r="P548" s="12"/>
      <c r="Q548" s="13"/>
      <c r="R548" s="13"/>
      <c r="S548" s="13"/>
      <c r="T548" s="13"/>
      <c r="U548" s="13"/>
      <c r="V548" s="13"/>
    </row>
    <row r="549">
      <c r="A549" s="54" t="s">
        <v>1101</v>
      </c>
      <c r="B549" s="66" t="s">
        <v>346</v>
      </c>
      <c r="C549" s="65" t="s">
        <v>347</v>
      </c>
      <c r="D549" s="66" t="s">
        <v>14</v>
      </c>
      <c r="E549" s="67">
        <v>177.34</v>
      </c>
      <c r="F549" s="54" t="s">
        <v>1102</v>
      </c>
      <c r="G549" s="66" t="s">
        <v>16</v>
      </c>
      <c r="H549" s="59" t="str">
        <f>HYPERLINK("http://www.usrc.it/AppRendiConta/det.301_20200427.pdf","Determinazione USRC n.301 del 2020.pdf")</f>
        <v>Determinazione USRC n.301 del 2020.pdf</v>
      </c>
      <c r="I549" s="12"/>
      <c r="J549" s="12"/>
      <c r="K549" s="12"/>
      <c r="L549" s="12"/>
      <c r="M549" s="12"/>
      <c r="N549" s="12"/>
      <c r="O549" s="12"/>
      <c r="P549" s="12"/>
      <c r="Q549" s="13"/>
      <c r="R549" s="13"/>
      <c r="S549" s="13"/>
      <c r="T549" s="13"/>
      <c r="U549" s="13"/>
      <c r="V549" s="13"/>
    </row>
    <row r="550">
      <c r="A550" s="7" t="s">
        <v>1103</v>
      </c>
      <c r="B550" s="66" t="s">
        <v>1104</v>
      </c>
      <c r="C550" s="73" t="s">
        <v>1105</v>
      </c>
      <c r="D550" s="66" t="s">
        <v>32</v>
      </c>
      <c r="E550" s="67">
        <v>610.0</v>
      </c>
      <c r="F550" s="54" t="s">
        <v>1106</v>
      </c>
      <c r="G550" s="66" t="s">
        <v>16</v>
      </c>
      <c r="H550" s="59" t="str">
        <f>HYPERLINK("http://www.usrc.it/AppRendiConta/det.306_20200430.pdf","Determinazione USRC n.306 del 2020.pdf")</f>
        <v>Determinazione USRC n.306 del 2020.pdf</v>
      </c>
      <c r="I550" s="12"/>
      <c r="J550" s="12"/>
      <c r="K550" s="12"/>
      <c r="L550" s="12"/>
      <c r="M550" s="12"/>
      <c r="N550" s="12"/>
      <c r="O550" s="12"/>
      <c r="P550" s="12"/>
      <c r="Q550" s="13"/>
      <c r="R550" s="13"/>
      <c r="S550" s="13"/>
      <c r="T550" s="13"/>
      <c r="U550" s="13"/>
      <c r="V550" s="13"/>
    </row>
    <row r="551">
      <c r="A551" s="68" t="s">
        <v>566</v>
      </c>
      <c r="B551" s="72" t="s">
        <v>567</v>
      </c>
      <c r="C551" s="40" t="s">
        <v>568</v>
      </c>
      <c r="D551" s="41" t="s">
        <v>32</v>
      </c>
      <c r="E551" s="55">
        <v>1053.8</v>
      </c>
      <c r="F551" s="71" t="s">
        <v>1107</v>
      </c>
      <c r="G551" s="41" t="s">
        <v>16</v>
      </c>
      <c r="H551" s="59" t="str">
        <f>HYPERLINK("http://www.usrc.it/AppRendiConta/det.307_20200430.pdf","Determinazione USRC n.307 del 2020.pdf")</f>
        <v>Determinazione USRC n.307 del 2020.pdf</v>
      </c>
      <c r="I551" s="12"/>
      <c r="J551" s="12"/>
      <c r="K551" s="12"/>
      <c r="L551" s="12"/>
      <c r="M551" s="12"/>
      <c r="N551" s="12"/>
      <c r="O551" s="12"/>
      <c r="P551" s="12"/>
      <c r="Q551" s="13"/>
      <c r="R551" s="13"/>
      <c r="S551" s="13"/>
      <c r="T551" s="13"/>
      <c r="U551" s="13"/>
      <c r="V551" s="13"/>
    </row>
    <row r="552">
      <c r="A552" s="68" t="s">
        <v>1108</v>
      </c>
      <c r="B552" s="41" t="s">
        <v>1109</v>
      </c>
      <c r="C552" s="40" t="s">
        <v>1110</v>
      </c>
      <c r="D552" s="41" t="s">
        <v>32</v>
      </c>
      <c r="E552" s="55">
        <v>8542.8</v>
      </c>
      <c r="F552" s="71" t="s">
        <v>1111</v>
      </c>
      <c r="G552" s="41" t="s">
        <v>16</v>
      </c>
      <c r="H552" s="59" t="str">
        <f>HYPERLINK("http://www.usrc.it/AppRendiConta/det.308_20200430.pdf","Determinazione USRC n.308 del 2020.pdf")</f>
        <v>Determinazione USRC n.308 del 2020.pdf</v>
      </c>
      <c r="I552" s="12"/>
      <c r="J552" s="12"/>
      <c r="K552" s="12"/>
      <c r="L552" s="12"/>
      <c r="M552" s="12"/>
      <c r="N552" s="12"/>
      <c r="O552" s="12"/>
      <c r="P552" s="12"/>
      <c r="Q552" s="13"/>
      <c r="R552" s="13"/>
      <c r="S552" s="13"/>
      <c r="T552" s="13"/>
      <c r="U552" s="13"/>
      <c r="V552" s="13"/>
    </row>
    <row r="553">
      <c r="A553" s="54" t="s">
        <v>897</v>
      </c>
      <c r="B553" s="66" t="s">
        <v>346</v>
      </c>
      <c r="C553" s="65" t="s">
        <v>347</v>
      </c>
      <c r="D553" s="66" t="s">
        <v>14</v>
      </c>
      <c r="E553" s="67">
        <v>286.12</v>
      </c>
      <c r="F553" s="54" t="s">
        <v>1112</v>
      </c>
      <c r="G553" s="66" t="s">
        <v>16</v>
      </c>
      <c r="H553" s="59" t="str">
        <f>HYPERLINK("http://www.usrc.it/AppRendiConta/det.309_20200430.pdf","Determinazione USRC n.309 del 2020.pdf")</f>
        <v>Determinazione USRC n.309 del 2020.pdf</v>
      </c>
      <c r="I553" s="12"/>
      <c r="J553" s="12"/>
      <c r="K553" s="12"/>
      <c r="L553" s="12"/>
      <c r="M553" s="12"/>
      <c r="N553" s="12"/>
      <c r="O553" s="12"/>
      <c r="P553" s="12"/>
      <c r="Q553" s="13"/>
      <c r="R553" s="13"/>
      <c r="S553" s="13"/>
      <c r="T553" s="13"/>
      <c r="U553" s="13"/>
      <c r="V553" s="13"/>
    </row>
    <row r="554">
      <c r="A554" s="54" t="s">
        <v>58</v>
      </c>
      <c r="B554" s="66" t="s">
        <v>484</v>
      </c>
      <c r="C554" s="65" t="s">
        <v>347</v>
      </c>
      <c r="D554" s="66" t="s">
        <v>14</v>
      </c>
      <c r="E554" s="67">
        <v>520.0</v>
      </c>
      <c r="F554" s="54" t="s">
        <v>1113</v>
      </c>
      <c r="G554" s="66" t="s">
        <v>16</v>
      </c>
      <c r="H554" s="59" t="str">
        <f>HYPERLINK("http://www.usrc.it/AppRendiConta/det.310_20200430.pdf","Determinazione USRC n.310 del 2020.pdf")</f>
        <v>Determinazione USRC n.310 del 2020.pdf</v>
      </c>
      <c r="I554" s="12"/>
      <c r="J554" s="12"/>
      <c r="K554" s="12"/>
      <c r="L554" s="12"/>
      <c r="M554" s="12"/>
      <c r="N554" s="12"/>
      <c r="O554" s="12"/>
      <c r="P554" s="12"/>
      <c r="Q554" s="13"/>
      <c r="R554" s="13"/>
      <c r="S554" s="13"/>
      <c r="T554" s="13"/>
      <c r="U554" s="13"/>
      <c r="V554" s="13"/>
    </row>
    <row r="555">
      <c r="A555" s="68" t="s">
        <v>1114</v>
      </c>
      <c r="B555" s="72" t="s">
        <v>1115</v>
      </c>
      <c r="C555" s="40" t="s">
        <v>1116</v>
      </c>
      <c r="D555" s="41" t="s">
        <v>32</v>
      </c>
      <c r="E555" s="55">
        <v>134.09</v>
      </c>
      <c r="F555" s="71" t="s">
        <v>1117</v>
      </c>
      <c r="G555" s="41" t="s">
        <v>16</v>
      </c>
      <c r="H555" s="59" t="s">
        <v>1118</v>
      </c>
      <c r="I555" s="12"/>
      <c r="J555" s="12"/>
      <c r="K555" s="12"/>
      <c r="L555" s="12"/>
      <c r="M555" s="12"/>
      <c r="N555" s="12"/>
      <c r="O555" s="12"/>
      <c r="P555" s="12"/>
      <c r="Q555" s="13"/>
      <c r="R555" s="13"/>
      <c r="S555" s="13"/>
      <c r="T555" s="13"/>
      <c r="U555" s="13"/>
      <c r="V555" s="13"/>
    </row>
    <row r="556">
      <c r="A556" s="68" t="s">
        <v>1119</v>
      </c>
      <c r="B556" s="72" t="s">
        <v>1120</v>
      </c>
      <c r="C556" s="40" t="s">
        <v>1121</v>
      </c>
      <c r="D556" s="41" t="s">
        <v>32</v>
      </c>
      <c r="E556" s="55">
        <v>18809.4</v>
      </c>
      <c r="F556" s="71" t="s">
        <v>1122</v>
      </c>
      <c r="G556" s="41" t="s">
        <v>16</v>
      </c>
      <c r="H556" s="59" t="s">
        <v>1123</v>
      </c>
      <c r="I556" s="12"/>
      <c r="J556" s="12"/>
      <c r="K556" s="12"/>
      <c r="L556" s="12"/>
      <c r="M556" s="12"/>
      <c r="N556" s="12"/>
      <c r="O556" s="12"/>
      <c r="P556" s="12"/>
      <c r="Q556" s="13"/>
      <c r="R556" s="13"/>
      <c r="S556" s="13"/>
      <c r="T556" s="13"/>
      <c r="U556" s="13"/>
      <c r="V556" s="13"/>
    </row>
    <row r="557">
      <c r="A557" s="68" t="s">
        <v>1124</v>
      </c>
      <c r="B557" s="72" t="s">
        <v>1125</v>
      </c>
      <c r="C557" s="40" t="s">
        <v>1126</v>
      </c>
      <c r="D557" s="41" t="s">
        <v>32</v>
      </c>
      <c r="E557" s="55">
        <v>1680.0</v>
      </c>
      <c r="F557" s="71" t="s">
        <v>1127</v>
      </c>
      <c r="G557" s="41" t="s">
        <v>16</v>
      </c>
      <c r="H557" s="59" t="s">
        <v>1128</v>
      </c>
      <c r="I557" s="12"/>
      <c r="J557" s="12"/>
      <c r="K557" s="12"/>
      <c r="L557" s="12"/>
      <c r="M557" s="12"/>
      <c r="N557" s="12"/>
      <c r="O557" s="12"/>
      <c r="P557" s="12"/>
      <c r="Q557" s="13"/>
      <c r="R557" s="13"/>
      <c r="S557" s="13"/>
      <c r="T557" s="13"/>
      <c r="U557" s="13"/>
      <c r="V557" s="13"/>
    </row>
    <row r="558">
      <c r="A558" s="7" t="s">
        <v>984</v>
      </c>
      <c r="B558" s="66" t="s">
        <v>985</v>
      </c>
      <c r="C558" s="65" t="s">
        <v>69</v>
      </c>
      <c r="D558" s="66" t="s">
        <v>14</v>
      </c>
      <c r="E558" s="67">
        <v>229.98</v>
      </c>
      <c r="F558" s="54" t="s">
        <v>1129</v>
      </c>
      <c r="G558" s="66" t="s">
        <v>16</v>
      </c>
      <c r="H558" s="59" t="s">
        <v>1130</v>
      </c>
      <c r="I558" s="12"/>
      <c r="J558" s="12"/>
      <c r="K558" s="12"/>
      <c r="L558" s="12"/>
      <c r="M558" s="12"/>
      <c r="N558" s="12"/>
      <c r="O558" s="12"/>
      <c r="P558" s="12"/>
      <c r="Q558" s="13"/>
      <c r="R558" s="13"/>
      <c r="S558" s="13"/>
      <c r="T558" s="13"/>
      <c r="U558" s="13"/>
      <c r="V558" s="13"/>
    </row>
    <row r="559">
      <c r="A559" s="68" t="s">
        <v>533</v>
      </c>
      <c r="B559" s="41" t="s">
        <v>366</v>
      </c>
      <c r="C559" s="40" t="s">
        <v>367</v>
      </c>
      <c r="D559" s="41" t="s">
        <v>14</v>
      </c>
      <c r="E559" s="55">
        <v>247.6</v>
      </c>
      <c r="F559" s="71" t="s">
        <v>1131</v>
      </c>
      <c r="G559" s="41" t="s">
        <v>16</v>
      </c>
      <c r="H559" s="59" t="s">
        <v>1132</v>
      </c>
      <c r="I559" s="12"/>
      <c r="J559" s="12"/>
      <c r="K559" s="12"/>
      <c r="L559" s="12"/>
      <c r="M559" s="12"/>
      <c r="N559" s="12"/>
      <c r="O559" s="12"/>
      <c r="P559" s="12"/>
      <c r="Q559" s="13"/>
      <c r="R559" s="13"/>
      <c r="S559" s="13"/>
      <c r="T559" s="13"/>
      <c r="U559" s="13"/>
      <c r="V559" s="13"/>
    </row>
    <row r="560">
      <c r="A560" s="71" t="s">
        <v>945</v>
      </c>
      <c r="B560" s="41" t="s">
        <v>617</v>
      </c>
      <c r="C560" s="40" t="s">
        <v>618</v>
      </c>
      <c r="D560" s="41" t="s">
        <v>32</v>
      </c>
      <c r="E560" s="55">
        <v>1529.88</v>
      </c>
      <c r="F560" s="71" t="s">
        <v>1133</v>
      </c>
      <c r="G560" s="41" t="s">
        <v>16</v>
      </c>
      <c r="H560" s="59" t="s">
        <v>1134</v>
      </c>
      <c r="I560" s="12"/>
      <c r="J560" s="12"/>
      <c r="K560" s="12"/>
      <c r="L560" s="12"/>
      <c r="M560" s="12"/>
      <c r="N560" s="12"/>
      <c r="O560" s="12"/>
      <c r="P560" s="12"/>
      <c r="Q560" s="13"/>
      <c r="R560" s="13"/>
      <c r="S560" s="13"/>
      <c r="T560" s="13"/>
      <c r="U560" s="13"/>
      <c r="V560" s="13"/>
    </row>
    <row r="561">
      <c r="A561" s="71" t="s">
        <v>1135</v>
      </c>
      <c r="B561" s="41" t="s">
        <v>346</v>
      </c>
      <c r="C561" s="40" t="s">
        <v>347</v>
      </c>
      <c r="D561" s="41" t="s">
        <v>14</v>
      </c>
      <c r="E561" s="55">
        <v>145.43</v>
      </c>
      <c r="F561" s="71" t="s">
        <v>1136</v>
      </c>
      <c r="G561" s="41" t="s">
        <v>16</v>
      </c>
      <c r="H561" s="59" t="s">
        <v>1137</v>
      </c>
      <c r="I561" s="12"/>
      <c r="J561" s="12"/>
      <c r="K561" s="12"/>
      <c r="L561" s="12"/>
      <c r="M561" s="12"/>
      <c r="N561" s="12"/>
      <c r="O561" s="12"/>
      <c r="P561" s="12"/>
      <c r="Q561" s="13"/>
      <c r="R561" s="13"/>
      <c r="S561" s="13"/>
      <c r="T561" s="13"/>
      <c r="U561" s="13"/>
      <c r="V561" s="13"/>
    </row>
    <row r="562">
      <c r="A562" s="68" t="s">
        <v>514</v>
      </c>
      <c r="B562" s="41" t="s">
        <v>515</v>
      </c>
      <c r="C562" s="40" t="s">
        <v>69</v>
      </c>
      <c r="D562" s="41" t="s">
        <v>14</v>
      </c>
      <c r="E562" s="55">
        <v>25.2</v>
      </c>
      <c r="F562" s="71" t="s">
        <v>1138</v>
      </c>
      <c r="G562" s="41" t="s">
        <v>16</v>
      </c>
      <c r="H562" s="59" t="s">
        <v>1139</v>
      </c>
      <c r="I562" s="12"/>
      <c r="J562" s="12"/>
      <c r="K562" s="12"/>
      <c r="L562" s="12"/>
      <c r="M562" s="12"/>
      <c r="N562" s="12"/>
      <c r="O562" s="12"/>
      <c r="P562" s="12"/>
      <c r="Q562" s="13"/>
      <c r="R562" s="13"/>
      <c r="S562" s="13"/>
      <c r="T562" s="13"/>
      <c r="U562" s="13"/>
      <c r="V562" s="13"/>
    </row>
    <row r="563">
      <c r="A563" s="68" t="s">
        <v>1068</v>
      </c>
      <c r="B563" s="41" t="s">
        <v>1069</v>
      </c>
      <c r="C563" s="40" t="s">
        <v>1070</v>
      </c>
      <c r="D563" s="41" t="s">
        <v>14</v>
      </c>
      <c r="E563" s="55">
        <v>7870.36</v>
      </c>
      <c r="F563" s="71" t="s">
        <v>1140</v>
      </c>
      <c r="G563" s="41" t="s">
        <v>16</v>
      </c>
      <c r="H563" s="59" t="s">
        <v>1141</v>
      </c>
      <c r="I563" s="12"/>
      <c r="J563" s="12"/>
      <c r="K563" s="12"/>
      <c r="L563" s="12"/>
      <c r="M563" s="12"/>
      <c r="N563" s="12"/>
      <c r="O563" s="12"/>
      <c r="P563" s="12"/>
      <c r="Q563" s="13"/>
      <c r="R563" s="13"/>
      <c r="S563" s="13"/>
      <c r="T563" s="13"/>
      <c r="U563" s="13"/>
      <c r="V563" s="13"/>
    </row>
    <row r="564">
      <c r="A564" s="7" t="s">
        <v>857</v>
      </c>
      <c r="B564" s="74" t="s">
        <v>750</v>
      </c>
      <c r="C564" s="65" t="s">
        <v>195</v>
      </c>
      <c r="D564" s="66" t="s">
        <v>14</v>
      </c>
      <c r="E564" s="67">
        <v>500.0</v>
      </c>
      <c r="F564" s="54" t="s">
        <v>1142</v>
      </c>
      <c r="G564" s="41" t="s">
        <v>16</v>
      </c>
      <c r="H564" s="59" t="s">
        <v>1143</v>
      </c>
      <c r="I564" s="12"/>
      <c r="J564" s="12"/>
      <c r="K564" s="12"/>
      <c r="L564" s="12"/>
      <c r="M564" s="12"/>
      <c r="N564" s="12"/>
      <c r="O564" s="12"/>
      <c r="P564" s="12"/>
      <c r="Q564" s="13"/>
      <c r="R564" s="13"/>
      <c r="S564" s="13"/>
      <c r="T564" s="13"/>
      <c r="U564" s="13"/>
      <c r="V564" s="13"/>
    </row>
    <row r="565">
      <c r="A565" s="68" t="s">
        <v>1144</v>
      </c>
      <c r="B565" s="41" t="s">
        <v>1145</v>
      </c>
      <c r="C565" s="40" t="s">
        <v>1146</v>
      </c>
      <c r="D565" s="41" t="s">
        <v>32</v>
      </c>
      <c r="E565" s="55">
        <v>3400.0</v>
      </c>
      <c r="F565" s="71" t="s">
        <v>1147</v>
      </c>
      <c r="G565" s="41" t="s">
        <v>16</v>
      </c>
      <c r="H565" s="59" t="s">
        <v>1148</v>
      </c>
      <c r="I565" s="12"/>
      <c r="J565" s="12"/>
      <c r="K565" s="12"/>
      <c r="L565" s="12"/>
      <c r="M565" s="12"/>
      <c r="N565" s="12"/>
      <c r="O565" s="12"/>
      <c r="P565" s="12"/>
      <c r="Q565" s="13"/>
      <c r="R565" s="13"/>
      <c r="S565" s="13"/>
      <c r="T565" s="13"/>
      <c r="U565" s="13"/>
      <c r="V565" s="13"/>
    </row>
    <row r="566">
      <c r="A566" s="68" t="s">
        <v>1149</v>
      </c>
      <c r="B566" s="41" t="s">
        <v>1150</v>
      </c>
      <c r="C566" s="40" t="s">
        <v>1151</v>
      </c>
      <c r="D566" s="41" t="s">
        <v>32</v>
      </c>
      <c r="E566" s="55">
        <v>4376.64</v>
      </c>
      <c r="F566" s="54" t="s">
        <v>1152</v>
      </c>
      <c r="G566" s="41" t="s">
        <v>16</v>
      </c>
      <c r="H566" s="59" t="s">
        <v>1153</v>
      </c>
      <c r="I566" s="12"/>
      <c r="J566" s="12"/>
      <c r="K566" s="12"/>
      <c r="L566" s="12"/>
      <c r="M566" s="12"/>
      <c r="N566" s="12"/>
      <c r="O566" s="12"/>
      <c r="P566" s="12"/>
      <c r="Q566" s="13"/>
      <c r="R566" s="13"/>
      <c r="S566" s="13"/>
      <c r="T566" s="13"/>
      <c r="U566" s="13"/>
      <c r="V566" s="13"/>
    </row>
    <row r="567">
      <c r="A567" s="68" t="s">
        <v>1154</v>
      </c>
      <c r="B567" s="41" t="s">
        <v>1155</v>
      </c>
      <c r="C567" s="40" t="s">
        <v>1156</v>
      </c>
      <c r="D567" s="41" t="s">
        <v>14</v>
      </c>
      <c r="E567" s="55">
        <v>1084.0</v>
      </c>
      <c r="F567" s="54" t="s">
        <v>1157</v>
      </c>
      <c r="G567" s="41" t="s">
        <v>16</v>
      </c>
      <c r="H567" s="59" t="s">
        <v>1158</v>
      </c>
      <c r="I567" s="12"/>
      <c r="J567" s="12"/>
      <c r="K567" s="12"/>
      <c r="L567" s="12"/>
      <c r="M567" s="12"/>
      <c r="N567" s="12"/>
      <c r="O567" s="12"/>
      <c r="P567" s="12"/>
      <c r="Q567" s="13"/>
      <c r="R567" s="13"/>
      <c r="S567" s="13"/>
      <c r="T567" s="13"/>
      <c r="U567" s="13"/>
      <c r="V567" s="13"/>
    </row>
    <row r="568">
      <c r="A568" s="68" t="s">
        <v>1159</v>
      </c>
      <c r="B568" s="41" t="s">
        <v>1160</v>
      </c>
      <c r="C568" s="40" t="s">
        <v>1161</v>
      </c>
      <c r="D568" s="41"/>
      <c r="E568" s="55">
        <v>400.0</v>
      </c>
      <c r="F568" s="54" t="s">
        <v>1162</v>
      </c>
      <c r="G568" s="41" t="s">
        <v>16</v>
      </c>
      <c r="H568" s="59" t="s">
        <v>1163</v>
      </c>
      <c r="I568" s="12"/>
      <c r="J568" s="12"/>
      <c r="K568" s="12"/>
      <c r="L568" s="12"/>
      <c r="M568" s="12"/>
      <c r="N568" s="12"/>
      <c r="O568" s="12"/>
      <c r="P568" s="12"/>
      <c r="Q568" s="13"/>
      <c r="R568" s="13"/>
      <c r="S568" s="13"/>
      <c r="T568" s="13"/>
      <c r="U568" s="13"/>
      <c r="V568" s="13"/>
    </row>
    <row r="569">
      <c r="A569" s="68" t="s">
        <v>1159</v>
      </c>
      <c r="B569" s="41" t="s">
        <v>1160</v>
      </c>
      <c r="C569" s="40" t="s">
        <v>1161</v>
      </c>
      <c r="D569" s="41"/>
      <c r="E569" s="55">
        <v>473.43</v>
      </c>
      <c r="F569" s="54" t="s">
        <v>1164</v>
      </c>
      <c r="G569" s="41" t="s">
        <v>16</v>
      </c>
      <c r="H569" s="59" t="s">
        <v>1165</v>
      </c>
      <c r="I569" s="12"/>
      <c r="J569" s="12"/>
      <c r="K569" s="12"/>
      <c r="L569" s="12"/>
      <c r="M569" s="12"/>
      <c r="N569" s="12"/>
      <c r="O569" s="12"/>
      <c r="P569" s="12"/>
      <c r="Q569" s="13"/>
      <c r="R569" s="13"/>
      <c r="S569" s="13"/>
      <c r="T569" s="13"/>
      <c r="U569" s="13"/>
      <c r="V569" s="13"/>
    </row>
    <row r="570">
      <c r="A570" s="68" t="s">
        <v>857</v>
      </c>
      <c r="B570" s="41" t="s">
        <v>750</v>
      </c>
      <c r="C570" s="40" t="s">
        <v>195</v>
      </c>
      <c r="D570" s="41" t="s">
        <v>14</v>
      </c>
      <c r="E570" s="55">
        <v>1389.0</v>
      </c>
      <c r="F570" s="54" t="s">
        <v>1166</v>
      </c>
      <c r="G570" s="41" t="s">
        <v>16</v>
      </c>
      <c r="H570" s="59" t="s">
        <v>1167</v>
      </c>
      <c r="I570" s="12"/>
      <c r="J570" s="12"/>
      <c r="K570" s="12"/>
      <c r="L570" s="12"/>
      <c r="M570" s="12"/>
      <c r="N570" s="12"/>
      <c r="O570" s="12"/>
      <c r="P570" s="12"/>
      <c r="Q570" s="13"/>
      <c r="R570" s="13"/>
      <c r="S570" s="13"/>
      <c r="T570" s="13"/>
      <c r="U570" s="13"/>
      <c r="V570" s="13"/>
    </row>
    <row r="571">
      <c r="A571" s="68" t="s">
        <v>1168</v>
      </c>
      <c r="B571" s="41" t="s">
        <v>1169</v>
      </c>
      <c r="C571" s="40" t="s">
        <v>1170</v>
      </c>
      <c r="D571" s="41" t="s">
        <v>32</v>
      </c>
      <c r="E571" s="55">
        <v>183.48</v>
      </c>
      <c r="F571" s="54" t="s">
        <v>1171</v>
      </c>
      <c r="G571" s="41" t="s">
        <v>16</v>
      </c>
      <c r="H571" s="59" t="s">
        <v>1172</v>
      </c>
      <c r="I571" s="12"/>
      <c r="J571" s="12"/>
      <c r="K571" s="12"/>
      <c r="L571" s="12"/>
      <c r="M571" s="12"/>
      <c r="N571" s="12"/>
      <c r="O571" s="12"/>
      <c r="P571" s="12"/>
      <c r="Q571" s="13"/>
      <c r="R571" s="13"/>
      <c r="S571" s="13"/>
      <c r="T571" s="13"/>
      <c r="U571" s="13"/>
      <c r="V571" s="13"/>
    </row>
    <row r="572">
      <c r="A572" s="68" t="s">
        <v>1135</v>
      </c>
      <c r="B572" s="41" t="s">
        <v>346</v>
      </c>
      <c r="C572" s="40" t="s">
        <v>347</v>
      </c>
      <c r="D572" s="41" t="s">
        <v>14</v>
      </c>
      <c r="E572" s="55">
        <v>63.0</v>
      </c>
      <c r="F572" s="54" t="s">
        <v>1173</v>
      </c>
      <c r="G572" s="41" t="s">
        <v>16</v>
      </c>
      <c r="H572" s="59" t="s">
        <v>1174</v>
      </c>
      <c r="I572" s="12"/>
      <c r="J572" s="12"/>
      <c r="K572" s="12"/>
      <c r="L572" s="12"/>
      <c r="M572" s="12"/>
      <c r="N572" s="12"/>
      <c r="O572" s="12"/>
      <c r="P572" s="12"/>
      <c r="Q572" s="13"/>
      <c r="R572" s="13"/>
      <c r="S572" s="13"/>
      <c r="T572" s="13"/>
      <c r="U572" s="13"/>
      <c r="V572" s="13"/>
    </row>
    <row r="573">
      <c r="A573" s="68" t="s">
        <v>984</v>
      </c>
      <c r="B573" s="41" t="s">
        <v>985</v>
      </c>
      <c r="C573" s="40" t="s">
        <v>69</v>
      </c>
      <c r="D573" s="41" t="s">
        <v>14</v>
      </c>
      <c r="E573" s="55">
        <v>172.48</v>
      </c>
      <c r="F573" s="54" t="s">
        <v>1175</v>
      </c>
      <c r="G573" s="41" t="s">
        <v>16</v>
      </c>
      <c r="H573" s="59" t="s">
        <v>1176</v>
      </c>
      <c r="I573" s="12"/>
      <c r="J573" s="12"/>
      <c r="K573" s="12"/>
      <c r="L573" s="12"/>
      <c r="M573" s="12"/>
      <c r="N573" s="12"/>
      <c r="O573" s="12"/>
      <c r="P573" s="12"/>
      <c r="Q573" s="13"/>
      <c r="R573" s="13"/>
      <c r="S573" s="13"/>
      <c r="T573" s="13"/>
      <c r="U573" s="13"/>
      <c r="V573" s="13"/>
    </row>
    <row r="574">
      <c r="A574" s="68" t="s">
        <v>1177</v>
      </c>
      <c r="B574" s="41" t="s">
        <v>1178</v>
      </c>
      <c r="C574" s="40" t="s">
        <v>1179</v>
      </c>
      <c r="D574" s="41" t="s">
        <v>32</v>
      </c>
      <c r="E574" s="55">
        <v>734.79</v>
      </c>
      <c r="F574" s="54" t="s">
        <v>1180</v>
      </c>
      <c r="G574" s="41" t="s">
        <v>16</v>
      </c>
      <c r="H574" s="59" t="s">
        <v>1181</v>
      </c>
      <c r="I574" s="12"/>
      <c r="J574" s="12"/>
      <c r="K574" s="12"/>
      <c r="L574" s="12"/>
      <c r="M574" s="12"/>
      <c r="N574" s="12"/>
      <c r="O574" s="12"/>
      <c r="P574" s="12"/>
      <c r="Q574" s="13"/>
      <c r="R574" s="13"/>
      <c r="S574" s="13"/>
      <c r="T574" s="13"/>
      <c r="U574" s="13"/>
      <c r="V574" s="13"/>
    </row>
    <row r="575">
      <c r="A575" s="68" t="s">
        <v>1182</v>
      </c>
      <c r="B575" s="75" t="s">
        <v>1183</v>
      </c>
      <c r="C575" s="40" t="s">
        <v>1184</v>
      </c>
      <c r="D575" s="41" t="s">
        <v>1185</v>
      </c>
      <c r="E575" s="55">
        <v>1121.0</v>
      </c>
      <c r="F575" s="54" t="s">
        <v>1186</v>
      </c>
      <c r="G575" s="41" t="s">
        <v>16</v>
      </c>
      <c r="H575" s="59" t="s">
        <v>1187</v>
      </c>
      <c r="I575" s="12"/>
      <c r="J575" s="12"/>
      <c r="K575" s="12"/>
      <c r="L575" s="12"/>
      <c r="M575" s="12"/>
      <c r="N575" s="12"/>
      <c r="O575" s="12"/>
      <c r="P575" s="12"/>
      <c r="Q575" s="13"/>
      <c r="R575" s="13"/>
      <c r="S575" s="13"/>
      <c r="T575" s="13"/>
      <c r="U575" s="13"/>
      <c r="V575" s="13"/>
    </row>
    <row r="576">
      <c r="A576" s="68" t="s">
        <v>1188</v>
      </c>
      <c r="B576" s="41" t="s">
        <v>1189</v>
      </c>
      <c r="C576" s="40" t="s">
        <v>1190</v>
      </c>
      <c r="D576" s="41" t="s">
        <v>32</v>
      </c>
      <c r="E576" s="55">
        <v>429.0</v>
      </c>
      <c r="F576" s="54" t="s">
        <v>1191</v>
      </c>
      <c r="G576" s="41" t="s">
        <v>16</v>
      </c>
      <c r="H576" s="59" t="s">
        <v>1192</v>
      </c>
      <c r="I576" s="12"/>
      <c r="J576" s="12"/>
      <c r="K576" s="12"/>
      <c r="L576" s="12"/>
      <c r="M576" s="12"/>
      <c r="N576" s="12"/>
      <c r="O576" s="12"/>
      <c r="P576" s="12"/>
      <c r="Q576" s="13"/>
      <c r="R576" s="13"/>
      <c r="S576" s="13"/>
      <c r="T576" s="13"/>
      <c r="U576" s="13"/>
      <c r="V576" s="13"/>
    </row>
    <row r="577">
      <c r="A577" s="68" t="s">
        <v>1057</v>
      </c>
      <c r="B577" s="41" t="s">
        <v>96</v>
      </c>
      <c r="C577" s="40" t="s">
        <v>97</v>
      </c>
      <c r="D577" s="41" t="s">
        <v>32</v>
      </c>
      <c r="E577" s="55">
        <v>550.1</v>
      </c>
      <c r="F577" s="54" t="s">
        <v>1193</v>
      </c>
      <c r="G577" s="41" t="s">
        <v>16</v>
      </c>
      <c r="H577" s="59" t="s">
        <v>1194</v>
      </c>
      <c r="I577" s="12"/>
      <c r="J577" s="12"/>
      <c r="K577" s="12"/>
      <c r="L577" s="12"/>
      <c r="M577" s="12"/>
      <c r="N577" s="12"/>
      <c r="O577" s="12"/>
      <c r="P577" s="12"/>
      <c r="Q577" s="13"/>
      <c r="R577" s="13"/>
      <c r="S577" s="13"/>
      <c r="T577" s="13"/>
      <c r="U577" s="13"/>
      <c r="V577" s="13"/>
    </row>
    <row r="578">
      <c r="A578" s="7" t="s">
        <v>1057</v>
      </c>
      <c r="B578" s="66" t="s">
        <v>96</v>
      </c>
      <c r="C578" s="65" t="s">
        <v>97</v>
      </c>
      <c r="D578" s="66" t="s">
        <v>32</v>
      </c>
      <c r="E578" s="67">
        <v>1065.24</v>
      </c>
      <c r="F578" s="54" t="s">
        <v>1195</v>
      </c>
      <c r="G578" s="66" t="s">
        <v>16</v>
      </c>
      <c r="H578" s="59" t="s">
        <v>1196</v>
      </c>
      <c r="I578" s="12"/>
      <c r="J578" s="12"/>
      <c r="K578" s="12"/>
      <c r="L578" s="12"/>
      <c r="M578" s="12"/>
      <c r="N578" s="12"/>
      <c r="O578" s="12"/>
      <c r="P578" s="12"/>
      <c r="Q578" s="13"/>
      <c r="R578" s="13"/>
      <c r="S578" s="13"/>
      <c r="T578" s="13"/>
      <c r="U578" s="13"/>
      <c r="V578" s="13"/>
    </row>
    <row r="579">
      <c r="A579" s="71" t="s">
        <v>945</v>
      </c>
      <c r="B579" s="41" t="s">
        <v>617</v>
      </c>
      <c r="C579" s="40" t="s">
        <v>618</v>
      </c>
      <c r="D579" s="41" t="s">
        <v>32</v>
      </c>
      <c r="E579" s="55">
        <v>1529.88</v>
      </c>
      <c r="F579" s="71" t="s">
        <v>1197</v>
      </c>
      <c r="G579" s="41" t="s">
        <v>16</v>
      </c>
      <c r="H579" s="59" t="s">
        <v>1198</v>
      </c>
      <c r="I579" s="12"/>
      <c r="J579" s="12"/>
      <c r="K579" s="12"/>
      <c r="L579" s="12"/>
      <c r="M579" s="12"/>
      <c r="N579" s="12"/>
      <c r="O579" s="12"/>
      <c r="P579" s="12"/>
      <c r="Q579" s="13"/>
      <c r="R579" s="13"/>
      <c r="S579" s="13"/>
      <c r="T579" s="13"/>
      <c r="U579" s="13"/>
      <c r="V579" s="13"/>
    </row>
    <row r="580">
      <c r="A580" s="68" t="s">
        <v>857</v>
      </c>
      <c r="B580" s="72" t="s">
        <v>750</v>
      </c>
      <c r="C580" s="40" t="s">
        <v>195</v>
      </c>
      <c r="D580" s="41" t="s">
        <v>14</v>
      </c>
      <c r="E580" s="55">
        <v>200.0</v>
      </c>
      <c r="F580" s="71" t="s">
        <v>1199</v>
      </c>
      <c r="G580" s="47" t="s">
        <v>16</v>
      </c>
      <c r="H580" s="59" t="s">
        <v>1200</v>
      </c>
      <c r="I580" s="12"/>
      <c r="J580" s="12"/>
      <c r="K580" s="12"/>
      <c r="L580" s="12"/>
      <c r="M580" s="12"/>
      <c r="N580" s="12"/>
      <c r="O580" s="12"/>
      <c r="P580" s="12"/>
      <c r="Q580" s="13"/>
      <c r="R580" s="13"/>
      <c r="S580" s="13"/>
      <c r="T580" s="13"/>
      <c r="U580" s="13"/>
      <c r="V580" s="13"/>
    </row>
    <row r="581">
      <c r="A581" s="7" t="s">
        <v>1068</v>
      </c>
      <c r="B581" s="66" t="s">
        <v>1069</v>
      </c>
      <c r="C581" s="65" t="s">
        <v>1070</v>
      </c>
      <c r="D581" s="66" t="s">
        <v>14</v>
      </c>
      <c r="E581" s="67">
        <v>6709.2</v>
      </c>
      <c r="F581" s="54" t="s">
        <v>1201</v>
      </c>
      <c r="G581" s="47" t="s">
        <v>16</v>
      </c>
      <c r="H581" s="59" t="s">
        <v>1202</v>
      </c>
      <c r="I581" s="12"/>
      <c r="J581" s="12"/>
      <c r="K581" s="12"/>
      <c r="L581" s="12"/>
      <c r="M581" s="12"/>
      <c r="N581" s="12"/>
      <c r="O581" s="12"/>
      <c r="P581" s="12"/>
      <c r="Q581" s="13"/>
      <c r="R581" s="13"/>
      <c r="S581" s="13"/>
      <c r="T581" s="13"/>
      <c r="U581" s="13"/>
      <c r="V581" s="13"/>
    </row>
    <row r="582">
      <c r="A582" s="7" t="s">
        <v>921</v>
      </c>
      <c r="B582" s="66" t="s">
        <v>1203</v>
      </c>
      <c r="C582" s="65" t="s">
        <v>1204</v>
      </c>
      <c r="D582" s="66" t="s">
        <v>14</v>
      </c>
      <c r="E582" s="67">
        <v>10368.0</v>
      </c>
      <c r="F582" s="54" t="s">
        <v>1205</v>
      </c>
      <c r="G582" s="47" t="s">
        <v>16</v>
      </c>
      <c r="H582" s="59" t="s">
        <v>1206</v>
      </c>
      <c r="I582" s="12"/>
      <c r="J582" s="12"/>
      <c r="K582" s="12"/>
      <c r="L582" s="12"/>
      <c r="M582" s="12"/>
      <c r="N582" s="12"/>
      <c r="O582" s="12"/>
      <c r="P582" s="12"/>
      <c r="Q582" s="13"/>
      <c r="R582" s="13"/>
      <c r="S582" s="13"/>
      <c r="T582" s="13"/>
      <c r="U582" s="13"/>
      <c r="V582" s="13"/>
    </row>
    <row r="583">
      <c r="A583" s="68" t="s">
        <v>1057</v>
      </c>
      <c r="B583" s="41" t="s">
        <v>96</v>
      </c>
      <c r="C583" s="40" t="s">
        <v>97</v>
      </c>
      <c r="D583" s="41" t="s">
        <v>32</v>
      </c>
      <c r="E583" s="55">
        <v>566.79</v>
      </c>
      <c r="F583" s="71" t="s">
        <v>1207</v>
      </c>
      <c r="G583" s="47" t="s">
        <v>16</v>
      </c>
      <c r="H583" s="59" t="s">
        <v>1208</v>
      </c>
      <c r="I583" s="12"/>
      <c r="J583" s="12"/>
      <c r="K583" s="12"/>
      <c r="L583" s="12"/>
      <c r="M583" s="12"/>
      <c r="N583" s="12"/>
      <c r="O583" s="12"/>
      <c r="P583" s="12"/>
      <c r="Q583" s="13"/>
      <c r="R583" s="13"/>
      <c r="S583" s="13"/>
      <c r="T583" s="13"/>
      <c r="U583" s="13"/>
      <c r="V583" s="13"/>
    </row>
    <row r="584">
      <c r="A584" s="71" t="s">
        <v>1209</v>
      </c>
      <c r="B584" s="41" t="s">
        <v>1210</v>
      </c>
      <c r="C584" s="40" t="s">
        <v>256</v>
      </c>
      <c r="D584" s="41" t="s">
        <v>85</v>
      </c>
      <c r="E584" s="55">
        <v>2425.2</v>
      </c>
      <c r="F584" s="71" t="s">
        <v>1211</v>
      </c>
      <c r="G584" s="47" t="s">
        <v>16</v>
      </c>
      <c r="H584" s="59" t="s">
        <v>1212</v>
      </c>
      <c r="I584" s="12"/>
      <c r="J584" s="12"/>
      <c r="K584" s="12"/>
      <c r="L584" s="12"/>
      <c r="M584" s="12"/>
      <c r="N584" s="12"/>
      <c r="O584" s="12"/>
      <c r="P584" s="12"/>
      <c r="Q584" s="13"/>
      <c r="R584" s="13"/>
      <c r="S584" s="13"/>
      <c r="T584" s="13"/>
      <c r="U584" s="13"/>
      <c r="V584" s="13"/>
    </row>
    <row r="585">
      <c r="A585" s="68" t="s">
        <v>1068</v>
      </c>
      <c r="B585" s="41" t="s">
        <v>1069</v>
      </c>
      <c r="C585" s="40" t="s">
        <v>1070</v>
      </c>
      <c r="D585" s="41" t="s">
        <v>14</v>
      </c>
      <c r="E585" s="55">
        <v>6128.34</v>
      </c>
      <c r="F585" s="71" t="s">
        <v>1213</v>
      </c>
      <c r="G585" s="47" t="s">
        <v>16</v>
      </c>
      <c r="H585" s="59" t="s">
        <v>1214</v>
      </c>
      <c r="I585" s="12"/>
      <c r="J585" s="12"/>
      <c r="K585" s="12"/>
      <c r="L585" s="12"/>
      <c r="M585" s="12"/>
      <c r="N585" s="12"/>
      <c r="O585" s="12"/>
      <c r="P585" s="12"/>
      <c r="Q585" s="13"/>
      <c r="R585" s="13"/>
      <c r="S585" s="13"/>
      <c r="T585" s="13"/>
      <c r="U585" s="13"/>
      <c r="V585" s="13"/>
    </row>
    <row r="586">
      <c r="A586" s="68" t="s">
        <v>1073</v>
      </c>
      <c r="B586" s="41" t="s">
        <v>702</v>
      </c>
      <c r="C586" s="40" t="s">
        <v>115</v>
      </c>
      <c r="D586" s="41" t="s">
        <v>14</v>
      </c>
      <c r="E586" s="55">
        <v>4236.52</v>
      </c>
      <c r="F586" s="71" t="s">
        <v>1215</v>
      </c>
      <c r="G586" s="47" t="s">
        <v>16</v>
      </c>
      <c r="H586" s="59" t="s">
        <v>1216</v>
      </c>
      <c r="I586" s="12"/>
      <c r="J586" s="12"/>
      <c r="K586" s="12"/>
      <c r="L586" s="12"/>
      <c r="M586" s="12"/>
      <c r="N586" s="12"/>
      <c r="O586" s="12"/>
      <c r="P586" s="12"/>
      <c r="Q586" s="13"/>
      <c r="R586" s="13"/>
      <c r="S586" s="13"/>
      <c r="T586" s="13"/>
      <c r="U586" s="13"/>
      <c r="V586" s="13"/>
    </row>
    <row r="587">
      <c r="A587" s="68" t="s">
        <v>1217</v>
      </c>
      <c r="B587" s="41" t="s">
        <v>1218</v>
      </c>
      <c r="C587" s="40" t="s">
        <v>1219</v>
      </c>
      <c r="D587" s="41" t="s">
        <v>85</v>
      </c>
      <c r="E587" s="55">
        <v>3000.0</v>
      </c>
      <c r="F587" s="71" t="s">
        <v>1220</v>
      </c>
      <c r="G587" s="47" t="s">
        <v>16</v>
      </c>
      <c r="H587" s="59" t="s">
        <v>1221</v>
      </c>
      <c r="I587" s="12"/>
      <c r="J587" s="12"/>
      <c r="K587" s="12"/>
      <c r="L587" s="12"/>
      <c r="M587" s="12"/>
      <c r="N587" s="12"/>
      <c r="O587" s="12"/>
      <c r="P587" s="12"/>
      <c r="Q587" s="13"/>
      <c r="R587" s="13"/>
      <c r="S587" s="13"/>
      <c r="T587" s="13"/>
      <c r="U587" s="13"/>
      <c r="V587" s="13"/>
    </row>
    <row r="588">
      <c r="A588" s="68" t="s">
        <v>926</v>
      </c>
      <c r="B588" s="41" t="s">
        <v>927</v>
      </c>
      <c r="C588" s="40" t="s">
        <v>928</v>
      </c>
      <c r="D588" s="41" t="s">
        <v>14</v>
      </c>
      <c r="E588" s="55">
        <v>2668.66</v>
      </c>
      <c r="F588" s="71" t="s">
        <v>1222</v>
      </c>
      <c r="G588" s="47" t="s">
        <v>16</v>
      </c>
      <c r="H588" s="59" t="s">
        <v>1223</v>
      </c>
      <c r="I588" s="12"/>
      <c r="J588" s="12"/>
      <c r="K588" s="12"/>
      <c r="L588" s="12"/>
      <c r="M588" s="12"/>
      <c r="N588" s="12"/>
      <c r="O588" s="12"/>
      <c r="P588" s="12"/>
      <c r="Q588" s="13"/>
      <c r="R588" s="13"/>
      <c r="S588" s="13"/>
      <c r="T588" s="13"/>
      <c r="U588" s="13"/>
      <c r="V588" s="13"/>
    </row>
    <row r="589">
      <c r="A589" s="7" t="s">
        <v>1224</v>
      </c>
      <c r="B589" s="66" t="s">
        <v>366</v>
      </c>
      <c r="C589" s="65" t="s">
        <v>367</v>
      </c>
      <c r="D589" s="66" t="s">
        <v>14</v>
      </c>
      <c r="E589" s="67">
        <v>15.5</v>
      </c>
      <c r="F589" s="76" t="s">
        <v>1225</v>
      </c>
      <c r="G589" s="47" t="s">
        <v>16</v>
      </c>
      <c r="H589" s="59" t="s">
        <v>1226</v>
      </c>
      <c r="I589" s="12"/>
      <c r="J589" s="12"/>
      <c r="K589" s="12"/>
      <c r="L589" s="12"/>
      <c r="M589" s="12"/>
      <c r="N589" s="12"/>
      <c r="O589" s="12"/>
      <c r="P589" s="12"/>
      <c r="Q589" s="13"/>
      <c r="R589" s="13"/>
      <c r="S589" s="13"/>
      <c r="T589" s="13"/>
      <c r="U589" s="13"/>
      <c r="V589" s="13"/>
    </row>
    <row r="590">
      <c r="A590" s="7" t="s">
        <v>1154</v>
      </c>
      <c r="B590" s="66" t="s">
        <v>1155</v>
      </c>
      <c r="C590" s="65" t="s">
        <v>1156</v>
      </c>
      <c r="D590" s="66" t="s">
        <v>14</v>
      </c>
      <c r="E590" s="77">
        <v>1084.0</v>
      </c>
      <c r="F590" s="71" t="s">
        <v>1227</v>
      </c>
      <c r="G590" s="47" t="s">
        <v>16</v>
      </c>
      <c r="H590" s="59" t="s">
        <v>1228</v>
      </c>
      <c r="I590" s="12"/>
      <c r="J590" s="12"/>
      <c r="K590" s="12"/>
      <c r="L590" s="12"/>
      <c r="M590" s="12"/>
      <c r="N590" s="12"/>
      <c r="O590" s="12"/>
      <c r="P590" s="12"/>
      <c r="Q590" s="13"/>
      <c r="R590" s="13"/>
      <c r="S590" s="13"/>
      <c r="T590" s="13"/>
      <c r="U590" s="13"/>
      <c r="V590" s="13"/>
    </row>
    <row r="591">
      <c r="A591" s="7" t="s">
        <v>58</v>
      </c>
      <c r="B591" s="66" t="s">
        <v>484</v>
      </c>
      <c r="C591" s="65" t="s">
        <v>347</v>
      </c>
      <c r="D591" s="66" t="s">
        <v>14</v>
      </c>
      <c r="E591" s="67">
        <v>145.0</v>
      </c>
      <c r="F591" s="76" t="s">
        <v>1229</v>
      </c>
      <c r="G591" s="47" t="s">
        <v>16</v>
      </c>
      <c r="H591" s="59" t="s">
        <v>1230</v>
      </c>
      <c r="I591" s="12"/>
      <c r="J591" s="12"/>
      <c r="K591" s="12"/>
      <c r="L591" s="12"/>
      <c r="M591" s="12"/>
      <c r="N591" s="12"/>
      <c r="O591" s="12"/>
      <c r="P591" s="12"/>
      <c r="Q591" s="13"/>
      <c r="R591" s="13"/>
      <c r="S591" s="13"/>
      <c r="T591" s="13"/>
      <c r="U591" s="13"/>
      <c r="V591" s="13"/>
    </row>
    <row r="592">
      <c r="A592" s="7" t="s">
        <v>1057</v>
      </c>
      <c r="B592" s="66" t="s">
        <v>96</v>
      </c>
      <c r="C592" s="65" t="s">
        <v>97</v>
      </c>
      <c r="D592" s="66" t="s">
        <v>32</v>
      </c>
      <c r="E592" s="67">
        <v>800.08</v>
      </c>
      <c r="F592" s="76" t="s">
        <v>1231</v>
      </c>
      <c r="G592" s="47" t="s">
        <v>16</v>
      </c>
      <c r="H592" s="59" t="s">
        <v>1232</v>
      </c>
      <c r="I592" s="12"/>
      <c r="J592" s="12"/>
      <c r="K592" s="12"/>
      <c r="L592" s="12"/>
      <c r="M592" s="12"/>
      <c r="N592" s="12"/>
      <c r="O592" s="12"/>
      <c r="P592" s="12"/>
      <c r="Q592" s="13"/>
      <c r="R592" s="13"/>
      <c r="S592" s="13"/>
      <c r="T592" s="13"/>
      <c r="U592" s="13"/>
      <c r="V592" s="13"/>
    </row>
    <row r="593">
      <c r="A593" s="7" t="s">
        <v>696</v>
      </c>
      <c r="B593" s="66" t="s">
        <v>954</v>
      </c>
      <c r="C593" s="65" t="s">
        <v>1031</v>
      </c>
      <c r="D593" s="66" t="s">
        <v>14</v>
      </c>
      <c r="E593" s="67">
        <v>140.68</v>
      </c>
      <c r="F593" s="76" t="s">
        <v>1233</v>
      </c>
      <c r="G593" s="47" t="s">
        <v>16</v>
      </c>
      <c r="H593" s="59" t="s">
        <v>1234</v>
      </c>
      <c r="I593" s="12"/>
      <c r="J593" s="12"/>
      <c r="K593" s="12"/>
      <c r="L593" s="12"/>
      <c r="M593" s="12"/>
      <c r="N593" s="12"/>
      <c r="O593" s="12"/>
      <c r="P593" s="12"/>
      <c r="Q593" s="13"/>
      <c r="R593" s="13"/>
      <c r="S593" s="13"/>
      <c r="T593" s="13"/>
      <c r="U593" s="13"/>
      <c r="V593" s="13"/>
    </row>
    <row r="594">
      <c r="A594" s="7" t="s">
        <v>696</v>
      </c>
      <c r="B594" s="66" t="s">
        <v>952</v>
      </c>
      <c r="C594" s="65" t="s">
        <v>1031</v>
      </c>
      <c r="D594" s="66" t="s">
        <v>14</v>
      </c>
      <c r="E594" s="67">
        <v>565.6</v>
      </c>
      <c r="F594" s="76" t="s">
        <v>1235</v>
      </c>
      <c r="G594" s="47" t="s">
        <v>16</v>
      </c>
      <c r="H594" s="59" t="s">
        <v>1236</v>
      </c>
      <c r="I594" s="12"/>
      <c r="J594" s="12"/>
      <c r="K594" s="12"/>
      <c r="L594" s="12"/>
      <c r="M594" s="12"/>
      <c r="N594" s="12"/>
      <c r="O594" s="12"/>
      <c r="P594" s="12"/>
      <c r="Q594" s="13"/>
      <c r="R594" s="13"/>
      <c r="S594" s="13"/>
      <c r="T594" s="13"/>
      <c r="U594" s="13"/>
      <c r="V594" s="13"/>
    </row>
    <row r="595">
      <c r="A595" s="7" t="s">
        <v>1135</v>
      </c>
      <c r="B595" s="66" t="s">
        <v>346</v>
      </c>
      <c r="C595" s="65" t="s">
        <v>347</v>
      </c>
      <c r="D595" s="66" t="s">
        <v>14</v>
      </c>
      <c r="E595" s="67">
        <v>71.4</v>
      </c>
      <c r="F595" s="76" t="s">
        <v>1237</v>
      </c>
      <c r="G595" s="47" t="s">
        <v>16</v>
      </c>
      <c r="H595" s="59" t="s">
        <v>1238</v>
      </c>
      <c r="I595" s="12"/>
      <c r="J595" s="12"/>
      <c r="K595" s="12"/>
      <c r="L595" s="12"/>
      <c r="M595" s="12"/>
      <c r="N595" s="12"/>
      <c r="O595" s="12"/>
      <c r="P595" s="12"/>
      <c r="Q595" s="13"/>
      <c r="R595" s="13"/>
      <c r="S595" s="13"/>
      <c r="T595" s="13"/>
      <c r="U595" s="13"/>
      <c r="V595" s="13"/>
    </row>
    <row r="596">
      <c r="A596" s="7" t="s">
        <v>945</v>
      </c>
      <c r="B596" s="66" t="s">
        <v>617</v>
      </c>
      <c r="C596" s="65" t="s">
        <v>618</v>
      </c>
      <c r="D596" s="66" t="s">
        <v>32</v>
      </c>
      <c r="E596" s="67">
        <v>1529.88</v>
      </c>
      <c r="F596" s="76" t="s">
        <v>1239</v>
      </c>
      <c r="G596" s="47" t="s">
        <v>16</v>
      </c>
      <c r="H596" s="59" t="s">
        <v>1240</v>
      </c>
      <c r="I596" s="12"/>
      <c r="J596" s="12"/>
      <c r="K596" s="12"/>
      <c r="L596" s="12"/>
      <c r="M596" s="12"/>
      <c r="N596" s="12"/>
      <c r="O596" s="12"/>
      <c r="P596" s="12"/>
      <c r="Q596" s="13"/>
      <c r="R596" s="13"/>
      <c r="S596" s="13"/>
      <c r="T596" s="13"/>
      <c r="U596" s="13"/>
      <c r="V596" s="13"/>
    </row>
    <row r="597">
      <c r="A597" s="7" t="s">
        <v>1224</v>
      </c>
      <c r="B597" s="66" t="s">
        <v>366</v>
      </c>
      <c r="C597" s="65" t="s">
        <v>367</v>
      </c>
      <c r="D597" s="66" t="s">
        <v>14</v>
      </c>
      <c r="E597" s="67">
        <v>20.49</v>
      </c>
      <c r="F597" s="76" t="s">
        <v>1241</v>
      </c>
      <c r="G597" s="47" t="s">
        <v>16</v>
      </c>
      <c r="H597" s="59" t="s">
        <v>1242</v>
      </c>
      <c r="I597" s="12"/>
      <c r="J597" s="12"/>
      <c r="K597" s="12"/>
      <c r="L597" s="12"/>
      <c r="M597" s="12"/>
      <c r="N597" s="12"/>
      <c r="O597" s="12"/>
      <c r="P597" s="12"/>
      <c r="Q597" s="13"/>
      <c r="R597" s="13"/>
      <c r="S597" s="13"/>
      <c r="T597" s="13"/>
      <c r="U597" s="13"/>
      <c r="V597" s="13"/>
    </row>
    <row r="598">
      <c r="A598" s="7" t="s">
        <v>857</v>
      </c>
      <c r="B598" s="66" t="s">
        <v>750</v>
      </c>
      <c r="C598" s="65" t="s">
        <v>195</v>
      </c>
      <c r="D598" s="66" t="s">
        <v>14</v>
      </c>
      <c r="E598" s="67">
        <v>100.0</v>
      </c>
      <c r="F598" s="76" t="s">
        <v>1243</v>
      </c>
      <c r="G598" s="47" t="s">
        <v>16</v>
      </c>
      <c r="H598" s="59" t="s">
        <v>1244</v>
      </c>
      <c r="I598" s="12"/>
      <c r="J598" s="12"/>
      <c r="K598" s="12"/>
      <c r="L598" s="12"/>
      <c r="M598" s="12"/>
      <c r="N598" s="12"/>
      <c r="O598" s="12"/>
      <c r="P598" s="12"/>
      <c r="Q598" s="13"/>
      <c r="R598" s="13"/>
      <c r="S598" s="13"/>
      <c r="T598" s="13"/>
      <c r="U598" s="13"/>
      <c r="V598" s="13"/>
    </row>
    <row r="599">
      <c r="A599" s="7" t="s">
        <v>1245</v>
      </c>
      <c r="B599" s="66" t="s">
        <v>1246</v>
      </c>
      <c r="C599" s="65" t="s">
        <v>1247</v>
      </c>
      <c r="D599" s="66" t="s">
        <v>14</v>
      </c>
      <c r="E599" s="67">
        <v>1796.4</v>
      </c>
      <c r="F599" s="76" t="s">
        <v>1248</v>
      </c>
      <c r="G599" s="47" t="s">
        <v>16</v>
      </c>
      <c r="H599" s="59" t="s">
        <v>1249</v>
      </c>
      <c r="I599" s="12"/>
      <c r="J599" s="12"/>
      <c r="K599" s="12"/>
      <c r="L599" s="12"/>
      <c r="M599" s="12"/>
      <c r="N599" s="12"/>
      <c r="O599" s="12"/>
      <c r="P599" s="12"/>
      <c r="Q599" s="13"/>
      <c r="R599" s="13"/>
      <c r="S599" s="13"/>
      <c r="T599" s="13"/>
      <c r="U599" s="13"/>
      <c r="V599" s="13"/>
    </row>
    <row r="600">
      <c r="A600" s="7" t="s">
        <v>1135</v>
      </c>
      <c r="B600" s="66" t="s">
        <v>346</v>
      </c>
      <c r="C600" s="65" t="s">
        <v>347</v>
      </c>
      <c r="D600" s="66" t="s">
        <v>14</v>
      </c>
      <c r="E600" s="67">
        <v>712.26</v>
      </c>
      <c r="F600" s="76" t="s">
        <v>1250</v>
      </c>
      <c r="G600" s="47" t="s">
        <v>16</v>
      </c>
      <c r="H600" s="59" t="s">
        <v>1251</v>
      </c>
      <c r="I600" s="12"/>
      <c r="J600" s="12"/>
      <c r="K600" s="12"/>
      <c r="L600" s="12"/>
      <c r="M600" s="12"/>
      <c r="N600" s="12"/>
      <c r="O600" s="12"/>
      <c r="P600" s="12"/>
      <c r="Q600" s="13"/>
      <c r="R600" s="13"/>
      <c r="S600" s="13"/>
      <c r="T600" s="13"/>
      <c r="U600" s="13"/>
      <c r="V600" s="13"/>
    </row>
    <row r="601">
      <c r="A601" s="7" t="s">
        <v>1068</v>
      </c>
      <c r="B601" s="66" t="s">
        <v>1069</v>
      </c>
      <c r="C601" s="65" t="s">
        <v>1070</v>
      </c>
      <c r="D601" s="66" t="s">
        <v>14</v>
      </c>
      <c r="E601" s="67">
        <v>6128.34</v>
      </c>
      <c r="F601" s="54" t="s">
        <v>1252</v>
      </c>
      <c r="G601" s="66" t="s">
        <v>16</v>
      </c>
      <c r="H601" s="59" t="s">
        <v>1253</v>
      </c>
      <c r="I601" s="12"/>
      <c r="J601" s="12"/>
      <c r="K601" s="12"/>
      <c r="L601" s="12"/>
      <c r="M601" s="12"/>
      <c r="N601" s="12"/>
      <c r="O601" s="12"/>
      <c r="P601" s="12"/>
      <c r="Q601" s="13"/>
      <c r="R601" s="13"/>
      <c r="S601" s="13"/>
      <c r="T601" s="13"/>
      <c r="U601" s="13"/>
      <c r="V601" s="13"/>
    </row>
    <row r="602">
      <c r="A602" s="68" t="s">
        <v>1254</v>
      </c>
      <c r="B602" s="41" t="s">
        <v>693</v>
      </c>
      <c r="C602" s="40" t="s">
        <v>694</v>
      </c>
      <c r="D602" s="41" t="s">
        <v>14</v>
      </c>
      <c r="E602" s="55">
        <v>2150.0</v>
      </c>
      <c r="F602" s="71" t="s">
        <v>1255</v>
      </c>
      <c r="G602" s="41" t="s">
        <v>16</v>
      </c>
      <c r="H602" s="59" t="s">
        <v>1256</v>
      </c>
      <c r="I602" s="12"/>
      <c r="J602" s="12"/>
      <c r="K602" s="12"/>
      <c r="L602" s="12"/>
      <c r="M602" s="12"/>
      <c r="N602" s="12"/>
      <c r="O602" s="12"/>
      <c r="P602" s="12"/>
      <c r="Q602" s="13"/>
      <c r="R602" s="13"/>
      <c r="S602" s="13"/>
      <c r="T602" s="13"/>
      <c r="U602" s="13"/>
      <c r="V602" s="13"/>
    </row>
    <row r="603">
      <c r="A603" s="71" t="s">
        <v>910</v>
      </c>
      <c r="B603" s="41" t="s">
        <v>402</v>
      </c>
      <c r="C603" s="40" t="s">
        <v>81</v>
      </c>
      <c r="D603" s="41" t="s">
        <v>32</v>
      </c>
      <c r="E603" s="55">
        <v>130.18</v>
      </c>
      <c r="F603" s="71" t="s">
        <v>1257</v>
      </c>
      <c r="G603" s="41" t="s">
        <v>16</v>
      </c>
      <c r="H603" s="59" t="s">
        <v>1258</v>
      </c>
      <c r="I603" s="12"/>
      <c r="J603" s="12"/>
      <c r="K603" s="12"/>
      <c r="L603" s="12"/>
      <c r="M603" s="12"/>
      <c r="N603" s="12"/>
      <c r="O603" s="12"/>
      <c r="P603" s="12"/>
      <c r="Q603" s="13"/>
      <c r="R603" s="13"/>
      <c r="S603" s="13"/>
      <c r="T603" s="13"/>
      <c r="U603" s="13"/>
      <c r="V603" s="13"/>
    </row>
    <row r="604">
      <c r="A604" s="68" t="s">
        <v>1224</v>
      </c>
      <c r="B604" s="41" t="s">
        <v>366</v>
      </c>
      <c r="C604" s="40" t="s">
        <v>367</v>
      </c>
      <c r="D604" s="41" t="s">
        <v>14</v>
      </c>
      <c r="E604" s="55">
        <v>34.08</v>
      </c>
      <c r="F604" s="71" t="s">
        <v>1259</v>
      </c>
      <c r="G604" s="41" t="s">
        <v>16</v>
      </c>
      <c r="H604" s="59" t="s">
        <v>1260</v>
      </c>
      <c r="I604" s="12"/>
      <c r="J604" s="12"/>
      <c r="K604" s="12"/>
      <c r="L604" s="12"/>
      <c r="M604" s="12"/>
      <c r="N604" s="12"/>
      <c r="O604" s="12"/>
      <c r="P604" s="12"/>
      <c r="Q604" s="13"/>
      <c r="R604" s="13"/>
      <c r="S604" s="13"/>
      <c r="T604" s="13"/>
      <c r="U604" s="13"/>
      <c r="V604" s="13"/>
    </row>
    <row r="605">
      <c r="A605" s="68" t="s">
        <v>1124</v>
      </c>
      <c r="B605" s="41" t="s">
        <v>1125</v>
      </c>
      <c r="C605" s="40" t="s">
        <v>1126</v>
      </c>
      <c r="D605" s="41" t="s">
        <v>32</v>
      </c>
      <c r="E605" s="55">
        <v>1680.0</v>
      </c>
      <c r="F605" s="71" t="s">
        <v>1261</v>
      </c>
      <c r="G605" s="41" t="s">
        <v>16</v>
      </c>
      <c r="H605" s="59" t="s">
        <v>1262</v>
      </c>
      <c r="I605" s="12"/>
      <c r="J605" s="12"/>
      <c r="K605" s="12"/>
      <c r="L605" s="12"/>
      <c r="M605" s="12"/>
      <c r="N605" s="12"/>
      <c r="O605" s="12"/>
      <c r="P605" s="12"/>
      <c r="Q605" s="13"/>
      <c r="R605" s="13"/>
      <c r="S605" s="13"/>
      <c r="T605" s="13"/>
      <c r="U605" s="13"/>
      <c r="V605" s="13"/>
    </row>
    <row r="606">
      <c r="A606" s="68" t="s">
        <v>1263</v>
      </c>
      <c r="B606" s="41" t="s">
        <v>1078</v>
      </c>
      <c r="C606" s="40" t="s">
        <v>1079</v>
      </c>
      <c r="D606" s="41" t="s">
        <v>14</v>
      </c>
      <c r="E606" s="55">
        <v>3362.8</v>
      </c>
      <c r="F606" s="71" t="s">
        <v>1264</v>
      </c>
      <c r="G606" s="41" t="s">
        <v>16</v>
      </c>
      <c r="H606" s="59" t="s">
        <v>1265</v>
      </c>
      <c r="I606" s="12"/>
      <c r="J606" s="12"/>
      <c r="K606" s="12"/>
      <c r="L606" s="12"/>
      <c r="M606" s="12"/>
      <c r="N606" s="12"/>
      <c r="O606" s="12"/>
      <c r="P606" s="12"/>
      <c r="Q606" s="13"/>
      <c r="R606" s="13"/>
      <c r="S606" s="13"/>
      <c r="T606" s="13"/>
      <c r="U606" s="13"/>
      <c r="V606" s="13"/>
    </row>
    <row r="607">
      <c r="A607" s="68" t="s">
        <v>1057</v>
      </c>
      <c r="B607" s="41" t="s">
        <v>96</v>
      </c>
      <c r="C607" s="40" t="s">
        <v>97</v>
      </c>
      <c r="D607" s="41" t="s">
        <v>32</v>
      </c>
      <c r="E607" s="55">
        <v>565.59</v>
      </c>
      <c r="F607" s="71" t="s">
        <v>1266</v>
      </c>
      <c r="G607" s="41" t="s">
        <v>16</v>
      </c>
      <c r="H607" s="59" t="s">
        <v>1267</v>
      </c>
      <c r="I607" s="12"/>
      <c r="J607" s="12"/>
      <c r="K607" s="12"/>
      <c r="L607" s="12"/>
      <c r="M607" s="12"/>
      <c r="N607" s="12"/>
      <c r="O607" s="12"/>
      <c r="P607" s="12"/>
      <c r="Q607" s="13"/>
      <c r="R607" s="13"/>
      <c r="S607" s="13"/>
      <c r="T607" s="13"/>
      <c r="U607" s="13"/>
      <c r="V607" s="13"/>
    </row>
    <row r="608">
      <c r="A608" s="68" t="s">
        <v>1263</v>
      </c>
      <c r="B608" s="41" t="s">
        <v>1078</v>
      </c>
      <c r="C608" s="40" t="s">
        <v>1079</v>
      </c>
      <c r="D608" s="41" t="s">
        <v>14</v>
      </c>
      <c r="E608" s="55">
        <v>3362.8</v>
      </c>
      <c r="F608" s="71" t="s">
        <v>1264</v>
      </c>
      <c r="G608" s="41" t="s">
        <v>16</v>
      </c>
      <c r="H608" s="59" t="s">
        <v>1265</v>
      </c>
      <c r="I608" s="12"/>
      <c r="J608" s="12"/>
      <c r="K608" s="12"/>
      <c r="L608" s="12"/>
      <c r="M608" s="12"/>
      <c r="N608" s="12"/>
      <c r="O608" s="12"/>
      <c r="P608" s="12"/>
      <c r="Q608" s="13"/>
      <c r="R608" s="13"/>
      <c r="S608" s="13"/>
      <c r="T608" s="13"/>
      <c r="U608" s="13"/>
      <c r="V608" s="13"/>
    </row>
    <row r="609">
      <c r="A609" s="68" t="s">
        <v>910</v>
      </c>
      <c r="B609" s="41" t="s">
        <v>402</v>
      </c>
      <c r="C609" s="40" t="s">
        <v>81</v>
      </c>
      <c r="D609" s="41" t="s">
        <v>32</v>
      </c>
      <c r="E609" s="55">
        <v>104.05</v>
      </c>
      <c r="F609" s="71" t="s">
        <v>1268</v>
      </c>
      <c r="G609" s="41" t="s">
        <v>16</v>
      </c>
      <c r="H609" s="59" t="s">
        <v>1269</v>
      </c>
      <c r="I609" s="12"/>
      <c r="J609" s="12"/>
      <c r="K609" s="12"/>
      <c r="L609" s="12"/>
      <c r="M609" s="12"/>
      <c r="N609" s="12"/>
      <c r="O609" s="12"/>
      <c r="P609" s="12"/>
      <c r="Q609" s="13"/>
      <c r="R609" s="13"/>
      <c r="S609" s="13"/>
      <c r="T609" s="13"/>
      <c r="U609" s="13"/>
      <c r="V609" s="13"/>
    </row>
    <row r="610">
      <c r="A610" s="68" t="s">
        <v>1270</v>
      </c>
      <c r="B610" s="41" t="s">
        <v>1271</v>
      </c>
      <c r="C610" s="40"/>
      <c r="D610" s="41" t="s">
        <v>14</v>
      </c>
      <c r="E610" s="55">
        <v>960.0</v>
      </c>
      <c r="F610" s="71" t="s">
        <v>1272</v>
      </c>
      <c r="G610" s="41" t="s">
        <v>16</v>
      </c>
      <c r="H610" s="59" t="s">
        <v>1273</v>
      </c>
      <c r="I610" s="12"/>
      <c r="J610" s="12"/>
      <c r="K610" s="12"/>
      <c r="L610" s="12"/>
      <c r="M610" s="12"/>
      <c r="N610" s="12"/>
      <c r="O610" s="12"/>
      <c r="P610" s="12"/>
      <c r="Q610" s="13"/>
      <c r="R610" s="13"/>
      <c r="S610" s="13"/>
      <c r="T610" s="13"/>
      <c r="U610" s="13"/>
      <c r="V610" s="13"/>
    </row>
    <row r="611">
      <c r="A611" s="68" t="s">
        <v>1274</v>
      </c>
      <c r="B611" s="41" t="s">
        <v>1275</v>
      </c>
      <c r="C611" s="40" t="s">
        <v>1276</v>
      </c>
      <c r="D611" s="41" t="s">
        <v>32</v>
      </c>
      <c r="E611" s="55">
        <v>3350.0</v>
      </c>
      <c r="F611" s="71" t="s">
        <v>1277</v>
      </c>
      <c r="G611" s="41" t="s">
        <v>16</v>
      </c>
      <c r="H611" s="59" t="s">
        <v>1278</v>
      </c>
      <c r="I611" s="12"/>
      <c r="J611" s="12"/>
      <c r="K611" s="12"/>
      <c r="L611" s="12"/>
      <c r="M611" s="12"/>
      <c r="N611" s="12"/>
      <c r="O611" s="12"/>
      <c r="P611" s="12"/>
      <c r="Q611" s="13"/>
      <c r="R611" s="13"/>
      <c r="S611" s="13"/>
      <c r="T611" s="13"/>
      <c r="U611" s="13"/>
      <c r="V611" s="13"/>
    </row>
    <row r="612">
      <c r="A612" s="68" t="s">
        <v>1135</v>
      </c>
      <c r="B612" s="41" t="s">
        <v>346</v>
      </c>
      <c r="C612" s="40" t="s">
        <v>347</v>
      </c>
      <c r="D612" s="41" t="s">
        <v>14</v>
      </c>
      <c r="E612" s="55">
        <v>832.25</v>
      </c>
      <c r="F612" s="71" t="s">
        <v>1279</v>
      </c>
      <c r="G612" s="41" t="s">
        <v>16</v>
      </c>
      <c r="H612" s="59" t="s">
        <v>1280</v>
      </c>
      <c r="I612" s="12"/>
      <c r="J612" s="12"/>
      <c r="K612" s="12"/>
      <c r="L612" s="12"/>
      <c r="M612" s="12"/>
      <c r="N612" s="12"/>
      <c r="O612" s="12"/>
      <c r="P612" s="12"/>
      <c r="Q612" s="13"/>
      <c r="R612" s="13"/>
      <c r="S612" s="13"/>
      <c r="T612" s="13"/>
      <c r="U612" s="13"/>
      <c r="V612" s="13"/>
    </row>
    <row r="613">
      <c r="A613" s="68" t="s">
        <v>1281</v>
      </c>
      <c r="B613" s="41" t="s">
        <v>1282</v>
      </c>
      <c r="C613" s="40" t="s">
        <v>1283</v>
      </c>
      <c r="D613" s="41" t="s">
        <v>1284</v>
      </c>
      <c r="E613" s="55">
        <v>9642.0</v>
      </c>
      <c r="F613" s="71" t="s">
        <v>1285</v>
      </c>
      <c r="G613" s="41" t="s">
        <v>16</v>
      </c>
      <c r="H613" s="59" t="s">
        <v>1286</v>
      </c>
      <c r="I613" s="12"/>
      <c r="J613" s="12"/>
      <c r="K613" s="12"/>
      <c r="L613" s="12"/>
      <c r="M613" s="12"/>
      <c r="N613" s="12"/>
      <c r="O613" s="12"/>
      <c r="P613" s="12"/>
      <c r="Q613" s="13"/>
      <c r="R613" s="13"/>
      <c r="S613" s="13"/>
      <c r="T613" s="13"/>
      <c r="U613" s="13"/>
      <c r="V613" s="13"/>
    </row>
    <row r="614">
      <c r="A614" s="68" t="s">
        <v>1287</v>
      </c>
      <c r="B614" s="41" t="s">
        <v>1288</v>
      </c>
      <c r="C614" s="40" t="s">
        <v>1289</v>
      </c>
      <c r="D614" s="41" t="s">
        <v>32</v>
      </c>
      <c r="E614" s="55">
        <v>1100.0</v>
      </c>
      <c r="F614" s="71" t="s">
        <v>1290</v>
      </c>
      <c r="G614" s="41" t="s">
        <v>16</v>
      </c>
      <c r="H614" s="59" t="s">
        <v>1291</v>
      </c>
      <c r="I614" s="12"/>
      <c r="J614" s="12"/>
      <c r="K614" s="12"/>
      <c r="L614" s="12"/>
      <c r="M614" s="12"/>
      <c r="N614" s="12"/>
      <c r="O614" s="12"/>
      <c r="P614" s="12"/>
      <c r="Q614" s="13"/>
      <c r="R614" s="13"/>
      <c r="S614" s="13"/>
      <c r="T614" s="13"/>
      <c r="U614" s="13"/>
      <c r="V614" s="13"/>
    </row>
    <row r="615">
      <c r="A615" s="68" t="s">
        <v>984</v>
      </c>
      <c r="B615" s="41" t="s">
        <v>985</v>
      </c>
      <c r="C615" s="40" t="s">
        <v>69</v>
      </c>
      <c r="D615" s="41" t="s">
        <v>14</v>
      </c>
      <c r="E615" s="55">
        <v>408.9</v>
      </c>
      <c r="F615" s="71" t="s">
        <v>1292</v>
      </c>
      <c r="G615" s="41" t="s">
        <v>16</v>
      </c>
      <c r="H615" s="59" t="s">
        <v>1293</v>
      </c>
      <c r="I615" s="12"/>
      <c r="J615" s="12"/>
      <c r="K615" s="12"/>
      <c r="L615" s="12"/>
      <c r="M615" s="12"/>
      <c r="N615" s="12"/>
      <c r="O615" s="12"/>
      <c r="P615" s="12"/>
      <c r="Q615" s="13"/>
      <c r="R615" s="13"/>
      <c r="S615" s="13"/>
      <c r="T615" s="13"/>
      <c r="U615" s="13"/>
      <c r="V615" s="13"/>
    </row>
    <row r="616">
      <c r="A616" s="68" t="s">
        <v>1057</v>
      </c>
      <c r="B616" s="41" t="s">
        <v>96</v>
      </c>
      <c r="C616" s="40" t="s">
        <v>97</v>
      </c>
      <c r="D616" s="41" t="s">
        <v>32</v>
      </c>
      <c r="E616" s="55">
        <v>469.87</v>
      </c>
      <c r="F616" s="71" t="s">
        <v>1294</v>
      </c>
      <c r="G616" s="41" t="s">
        <v>16</v>
      </c>
      <c r="H616" s="59" t="s">
        <v>1295</v>
      </c>
      <c r="I616" s="12"/>
      <c r="J616" s="12"/>
      <c r="K616" s="12"/>
      <c r="L616" s="12"/>
      <c r="M616" s="12"/>
      <c r="N616" s="12"/>
      <c r="O616" s="12"/>
      <c r="P616" s="12"/>
      <c r="Q616" s="13"/>
      <c r="R616" s="13"/>
      <c r="S616" s="13"/>
      <c r="T616" s="13"/>
      <c r="U616" s="13"/>
      <c r="V616" s="13"/>
    </row>
    <row r="617">
      <c r="A617" s="68" t="s">
        <v>1057</v>
      </c>
      <c r="B617" s="41" t="s">
        <v>96</v>
      </c>
      <c r="C617" s="40" t="s">
        <v>97</v>
      </c>
      <c r="D617" s="41" t="s">
        <v>32</v>
      </c>
      <c r="E617" s="55">
        <v>745.58</v>
      </c>
      <c r="F617" s="71" t="s">
        <v>1296</v>
      </c>
      <c r="G617" s="41" t="s">
        <v>16</v>
      </c>
      <c r="H617" s="59" t="s">
        <v>1297</v>
      </c>
      <c r="I617" s="12"/>
      <c r="J617" s="12"/>
      <c r="K617" s="12"/>
      <c r="L617" s="12"/>
      <c r="M617" s="12"/>
      <c r="N617" s="12"/>
      <c r="O617" s="12"/>
      <c r="P617" s="12"/>
      <c r="Q617" s="13"/>
      <c r="R617" s="13"/>
      <c r="S617" s="13"/>
      <c r="T617" s="13"/>
      <c r="U617" s="13"/>
      <c r="V617" s="13"/>
    </row>
    <row r="618">
      <c r="A618" s="68" t="s">
        <v>1298</v>
      </c>
      <c r="B618" s="41" t="s">
        <v>1299</v>
      </c>
      <c r="C618" s="40" t="s">
        <v>1300</v>
      </c>
      <c r="D618" s="41" t="s">
        <v>14</v>
      </c>
      <c r="E618" s="55">
        <v>3225.25</v>
      </c>
      <c r="F618" s="71" t="s">
        <v>1301</v>
      </c>
      <c r="G618" s="41" t="s">
        <v>16</v>
      </c>
      <c r="H618" s="59" t="s">
        <v>1302</v>
      </c>
      <c r="I618" s="12"/>
      <c r="J618" s="12"/>
      <c r="K618" s="12"/>
      <c r="L618" s="12"/>
      <c r="M618" s="12"/>
      <c r="N618" s="12"/>
      <c r="O618" s="12"/>
      <c r="P618" s="12"/>
      <c r="Q618" s="13"/>
      <c r="R618" s="13"/>
      <c r="S618" s="13"/>
      <c r="T618" s="13"/>
      <c r="U618" s="13"/>
      <c r="V618" s="13"/>
    </row>
    <row r="619">
      <c r="A619" s="68" t="s">
        <v>857</v>
      </c>
      <c r="B619" s="41" t="s">
        <v>750</v>
      </c>
      <c r="C619" s="40" t="s">
        <v>195</v>
      </c>
      <c r="D619" s="41" t="s">
        <v>14</v>
      </c>
      <c r="E619" s="55">
        <v>100.0</v>
      </c>
      <c r="F619" s="71" t="s">
        <v>1303</v>
      </c>
      <c r="G619" s="41" t="s">
        <v>16</v>
      </c>
      <c r="H619" s="59" t="s">
        <v>1304</v>
      </c>
      <c r="I619" s="12"/>
      <c r="J619" s="12"/>
      <c r="K619" s="12"/>
      <c r="L619" s="12"/>
      <c r="M619" s="12"/>
      <c r="N619" s="12"/>
      <c r="O619" s="12"/>
      <c r="P619" s="12"/>
      <c r="Q619" s="13"/>
      <c r="R619" s="13"/>
      <c r="S619" s="13"/>
      <c r="T619" s="13"/>
      <c r="U619" s="13"/>
      <c r="V619" s="13"/>
    </row>
    <row r="620">
      <c r="A620" s="68" t="s">
        <v>1287</v>
      </c>
      <c r="B620" s="41" t="s">
        <v>1288</v>
      </c>
      <c r="C620" s="40" t="s">
        <v>1289</v>
      </c>
      <c r="D620" s="41" t="s">
        <v>32</v>
      </c>
      <c r="E620" s="55">
        <v>2800.0</v>
      </c>
      <c r="F620" s="71" t="s">
        <v>1305</v>
      </c>
      <c r="G620" s="41" t="s">
        <v>16</v>
      </c>
      <c r="H620" s="59" t="s">
        <v>1306</v>
      </c>
      <c r="I620" s="12"/>
      <c r="J620" s="12"/>
      <c r="K620" s="12"/>
      <c r="L620" s="12"/>
      <c r="M620" s="12"/>
      <c r="N620" s="12"/>
      <c r="O620" s="12"/>
      <c r="P620" s="12"/>
      <c r="Q620" s="13"/>
      <c r="R620" s="13"/>
      <c r="S620" s="13"/>
      <c r="T620" s="13"/>
      <c r="U620" s="13"/>
      <c r="V620" s="13"/>
    </row>
    <row r="621">
      <c r="A621" s="68" t="s">
        <v>857</v>
      </c>
      <c r="B621" s="41" t="s">
        <v>750</v>
      </c>
      <c r="C621" s="40" t="s">
        <v>195</v>
      </c>
      <c r="D621" s="41" t="s">
        <v>14</v>
      </c>
      <c r="E621" s="55">
        <v>200.0</v>
      </c>
      <c r="F621" s="71" t="s">
        <v>1307</v>
      </c>
      <c r="G621" s="41" t="s">
        <v>16</v>
      </c>
      <c r="H621" s="59" t="s">
        <v>1308</v>
      </c>
      <c r="I621" s="12"/>
      <c r="J621" s="12"/>
      <c r="K621" s="12"/>
      <c r="L621" s="12"/>
      <c r="M621" s="12"/>
      <c r="N621" s="12"/>
      <c r="O621" s="12"/>
      <c r="P621" s="12"/>
      <c r="Q621" s="13"/>
      <c r="R621" s="13"/>
      <c r="S621" s="13"/>
      <c r="T621" s="13"/>
      <c r="U621" s="13"/>
      <c r="V621" s="13"/>
    </row>
    <row r="622">
      <c r="A622" s="68" t="s">
        <v>857</v>
      </c>
      <c r="B622" s="41" t="s">
        <v>750</v>
      </c>
      <c r="C622" s="40" t="s">
        <v>195</v>
      </c>
      <c r="D622" s="41" t="s">
        <v>14</v>
      </c>
      <c r="E622" s="55">
        <v>200.0</v>
      </c>
      <c r="F622" s="71" t="s">
        <v>1309</v>
      </c>
      <c r="G622" s="41" t="s">
        <v>16</v>
      </c>
      <c r="H622" s="59" t="s">
        <v>1310</v>
      </c>
      <c r="I622" s="12"/>
      <c r="J622" s="12"/>
      <c r="K622" s="12"/>
      <c r="L622" s="12"/>
      <c r="M622" s="12"/>
      <c r="N622" s="12"/>
      <c r="O622" s="12"/>
      <c r="P622" s="12"/>
      <c r="Q622" s="13"/>
      <c r="R622" s="13"/>
      <c r="S622" s="13"/>
      <c r="T622" s="13"/>
      <c r="U622" s="13"/>
      <c r="V622" s="13"/>
    </row>
    <row r="623">
      <c r="A623" s="68" t="s">
        <v>1135</v>
      </c>
      <c r="B623" s="41" t="s">
        <v>346</v>
      </c>
      <c r="C623" s="40" t="s">
        <v>347</v>
      </c>
      <c r="D623" s="41" t="s">
        <v>14</v>
      </c>
      <c r="E623" s="55">
        <v>347.1</v>
      </c>
      <c r="F623" s="71" t="s">
        <v>1311</v>
      </c>
      <c r="G623" s="41" t="s">
        <v>16</v>
      </c>
      <c r="H623" s="59" t="s">
        <v>1312</v>
      </c>
      <c r="I623" s="12"/>
      <c r="J623" s="12"/>
      <c r="K623" s="12"/>
      <c r="L623" s="12"/>
      <c r="M623" s="12"/>
      <c r="N623" s="12"/>
      <c r="O623" s="12"/>
      <c r="P623" s="12"/>
      <c r="Q623" s="13"/>
      <c r="R623" s="13"/>
      <c r="S623" s="13"/>
      <c r="T623" s="13"/>
      <c r="U623" s="13"/>
      <c r="V623" s="13"/>
    </row>
    <row r="624">
      <c r="A624" s="68" t="s">
        <v>1313</v>
      </c>
      <c r="B624" s="41" t="s">
        <v>1314</v>
      </c>
      <c r="C624" s="40" t="s">
        <v>1315</v>
      </c>
      <c r="D624" s="41" t="s">
        <v>32</v>
      </c>
      <c r="E624" s="55">
        <v>980.72</v>
      </c>
      <c r="F624" s="71" t="s">
        <v>1316</v>
      </c>
      <c r="G624" s="41" t="s">
        <v>16</v>
      </c>
      <c r="H624" s="59" t="s">
        <v>1317</v>
      </c>
      <c r="I624" s="12"/>
      <c r="J624" s="12"/>
      <c r="K624" s="12"/>
      <c r="L624" s="12"/>
      <c r="M624" s="12"/>
      <c r="N624" s="12"/>
      <c r="O624" s="12"/>
      <c r="P624" s="12"/>
      <c r="Q624" s="13"/>
      <c r="R624" s="13"/>
      <c r="S624" s="13"/>
      <c r="T624" s="13"/>
      <c r="U624" s="13"/>
      <c r="V624" s="13"/>
    </row>
    <row r="625">
      <c r="A625" s="68" t="s">
        <v>1068</v>
      </c>
      <c r="B625" s="41" t="s">
        <v>1069</v>
      </c>
      <c r="C625" s="40" t="s">
        <v>1070</v>
      </c>
      <c r="D625" s="41" t="s">
        <v>14</v>
      </c>
      <c r="E625" s="55">
        <v>7132.38</v>
      </c>
      <c r="F625" s="71" t="s">
        <v>1318</v>
      </c>
      <c r="G625" s="41" t="s">
        <v>16</v>
      </c>
      <c r="H625" s="59" t="s">
        <v>1319</v>
      </c>
      <c r="I625" s="12"/>
      <c r="J625" s="12"/>
      <c r="K625" s="12"/>
      <c r="L625" s="12"/>
      <c r="M625" s="12"/>
      <c r="N625" s="12"/>
      <c r="O625" s="12"/>
      <c r="P625" s="12"/>
      <c r="Q625" s="13"/>
      <c r="R625" s="13"/>
      <c r="S625" s="13"/>
      <c r="T625" s="13"/>
      <c r="U625" s="13"/>
      <c r="V625" s="13"/>
    </row>
    <row r="626">
      <c r="A626" s="68" t="s">
        <v>1057</v>
      </c>
      <c r="B626" s="41" t="s">
        <v>96</v>
      </c>
      <c r="C626" s="40" t="s">
        <v>97</v>
      </c>
      <c r="D626" s="41" t="s">
        <v>32</v>
      </c>
      <c r="E626" s="55">
        <v>869.6</v>
      </c>
      <c r="F626" s="71" t="s">
        <v>1320</v>
      </c>
      <c r="G626" s="41" t="s">
        <v>16</v>
      </c>
      <c r="H626" s="59" t="s">
        <v>1321</v>
      </c>
      <c r="I626" s="12"/>
      <c r="J626" s="12"/>
      <c r="K626" s="12"/>
      <c r="L626" s="12"/>
      <c r="M626" s="12"/>
      <c r="N626" s="12"/>
      <c r="O626" s="12"/>
      <c r="P626" s="12"/>
      <c r="Q626" s="13"/>
      <c r="R626" s="13"/>
      <c r="S626" s="13"/>
      <c r="T626" s="13"/>
      <c r="U626" s="13"/>
      <c r="V626" s="13"/>
    </row>
    <row r="627">
      <c r="A627" s="68" t="s">
        <v>1322</v>
      </c>
      <c r="B627" s="41" t="s">
        <v>1323</v>
      </c>
      <c r="C627" s="40" t="s">
        <v>1324</v>
      </c>
      <c r="D627" s="41" t="s">
        <v>32</v>
      </c>
      <c r="E627" s="55">
        <v>2260.8</v>
      </c>
      <c r="F627" s="71" t="s">
        <v>1325</v>
      </c>
      <c r="G627" s="41" t="s">
        <v>16</v>
      </c>
      <c r="H627" s="59" t="s">
        <v>1326</v>
      </c>
      <c r="I627" s="12"/>
      <c r="J627" s="12"/>
      <c r="K627" s="12"/>
      <c r="L627" s="12"/>
      <c r="M627" s="12"/>
      <c r="N627" s="12"/>
      <c r="O627" s="12"/>
      <c r="P627" s="12"/>
      <c r="Q627" s="13"/>
      <c r="R627" s="13"/>
      <c r="S627" s="13"/>
      <c r="T627" s="13"/>
      <c r="U627" s="13"/>
      <c r="V627" s="13"/>
    </row>
    <row r="628">
      <c r="A628" s="68" t="s">
        <v>616</v>
      </c>
      <c r="B628" s="41" t="s">
        <v>602</v>
      </c>
      <c r="C628" s="40" t="s">
        <v>1327</v>
      </c>
      <c r="D628" s="41" t="s">
        <v>14</v>
      </c>
      <c r="E628" s="55">
        <v>4821.21</v>
      </c>
      <c r="F628" s="71" t="s">
        <v>1328</v>
      </c>
      <c r="G628" s="41" t="s">
        <v>16</v>
      </c>
      <c r="H628" s="59" t="s">
        <v>1329</v>
      </c>
      <c r="I628" s="12"/>
      <c r="J628" s="12"/>
      <c r="K628" s="12"/>
      <c r="L628" s="12"/>
      <c r="M628" s="12"/>
      <c r="N628" s="12"/>
      <c r="O628" s="12"/>
      <c r="P628" s="12"/>
      <c r="Q628" s="13"/>
      <c r="R628" s="13"/>
      <c r="S628" s="13"/>
      <c r="T628" s="13"/>
      <c r="U628" s="13"/>
      <c r="V628" s="13"/>
    </row>
    <row r="629">
      <c r="A629" s="68" t="s">
        <v>1135</v>
      </c>
      <c r="B629" s="41" t="s">
        <v>346</v>
      </c>
      <c r="C629" s="40" t="s">
        <v>347</v>
      </c>
      <c r="D629" s="41" t="s">
        <v>14</v>
      </c>
      <c r="E629" s="55">
        <v>1231.78</v>
      </c>
      <c r="F629" s="71" t="s">
        <v>1330</v>
      </c>
      <c r="G629" s="41" t="s">
        <v>16</v>
      </c>
      <c r="H629" s="59" t="s">
        <v>1331</v>
      </c>
      <c r="I629" s="12"/>
      <c r="J629" s="12"/>
      <c r="K629" s="12"/>
      <c r="L629" s="12"/>
      <c r="M629" s="12"/>
      <c r="N629" s="12"/>
      <c r="O629" s="12"/>
      <c r="P629" s="12"/>
      <c r="Q629" s="13"/>
      <c r="R629" s="13"/>
      <c r="S629" s="13"/>
      <c r="T629" s="13"/>
      <c r="U629" s="13"/>
      <c r="V629" s="13"/>
    </row>
    <row r="630">
      <c r="A630" s="68" t="s">
        <v>1224</v>
      </c>
      <c r="B630" s="41" t="s">
        <v>366</v>
      </c>
      <c r="C630" s="40" t="s">
        <v>367</v>
      </c>
      <c r="D630" s="41" t="s">
        <v>14</v>
      </c>
      <c r="E630" s="55">
        <v>46.52</v>
      </c>
      <c r="F630" s="71" t="s">
        <v>1332</v>
      </c>
      <c r="G630" s="41" t="s">
        <v>16</v>
      </c>
      <c r="H630" s="59" t="s">
        <v>1333</v>
      </c>
      <c r="I630" s="12"/>
      <c r="J630" s="12"/>
      <c r="K630" s="12"/>
      <c r="L630" s="12"/>
      <c r="M630" s="12"/>
      <c r="N630" s="12"/>
      <c r="O630" s="12"/>
      <c r="P630" s="12"/>
      <c r="Q630" s="13"/>
      <c r="R630" s="13"/>
      <c r="S630" s="13"/>
      <c r="T630" s="13"/>
      <c r="U630" s="13"/>
      <c r="V630" s="13"/>
    </row>
    <row r="631">
      <c r="A631" s="68" t="s">
        <v>696</v>
      </c>
      <c r="B631" s="41" t="s">
        <v>954</v>
      </c>
      <c r="C631" s="40" t="s">
        <v>1031</v>
      </c>
      <c r="D631" s="41" t="s">
        <v>14</v>
      </c>
      <c r="E631" s="55">
        <v>167.24</v>
      </c>
      <c r="F631" s="71" t="s">
        <v>1334</v>
      </c>
      <c r="G631" s="41" t="s">
        <v>16</v>
      </c>
      <c r="H631" s="59" t="s">
        <v>1335</v>
      </c>
      <c r="I631" s="12"/>
      <c r="J631" s="12"/>
      <c r="K631" s="12"/>
      <c r="L631" s="12"/>
      <c r="M631" s="12"/>
      <c r="N631" s="12"/>
      <c r="O631" s="12"/>
      <c r="P631" s="12"/>
      <c r="Q631" s="13"/>
      <c r="R631" s="13"/>
      <c r="S631" s="13"/>
      <c r="T631" s="13"/>
      <c r="U631" s="13"/>
      <c r="V631" s="13"/>
    </row>
    <row r="632">
      <c r="A632" s="68" t="s">
        <v>696</v>
      </c>
      <c r="B632" s="41" t="s">
        <v>954</v>
      </c>
      <c r="C632" s="40" t="s">
        <v>1031</v>
      </c>
      <c r="D632" s="41" t="s">
        <v>14</v>
      </c>
      <c r="E632" s="55">
        <v>672.43</v>
      </c>
      <c r="F632" s="71" t="s">
        <v>1336</v>
      </c>
      <c r="G632" s="41" t="s">
        <v>16</v>
      </c>
      <c r="H632" s="59" t="s">
        <v>1337</v>
      </c>
      <c r="I632" s="12"/>
      <c r="J632" s="12"/>
      <c r="K632" s="12"/>
      <c r="L632" s="12"/>
      <c r="M632" s="12"/>
      <c r="N632" s="12"/>
      <c r="O632" s="12"/>
      <c r="P632" s="12"/>
      <c r="Q632" s="13"/>
      <c r="R632" s="13"/>
      <c r="S632" s="13"/>
      <c r="T632" s="13"/>
      <c r="U632" s="13"/>
      <c r="V632" s="13"/>
    </row>
    <row r="633">
      <c r="A633" s="68" t="s">
        <v>1135</v>
      </c>
      <c r="B633" s="41" t="s">
        <v>346</v>
      </c>
      <c r="C633" s="40" t="s">
        <v>347</v>
      </c>
      <c r="D633" s="41" t="s">
        <v>14</v>
      </c>
      <c r="E633" s="55">
        <v>385.02</v>
      </c>
      <c r="F633" s="71" t="s">
        <v>1338</v>
      </c>
      <c r="G633" s="41" t="s">
        <v>16</v>
      </c>
      <c r="H633" s="59" t="s">
        <v>1339</v>
      </c>
      <c r="I633" s="12"/>
      <c r="J633" s="12"/>
      <c r="K633" s="12"/>
      <c r="L633" s="12"/>
      <c r="M633" s="12"/>
      <c r="N633" s="12"/>
      <c r="O633" s="12"/>
      <c r="P633" s="12"/>
      <c r="Q633" s="13"/>
      <c r="R633" s="13"/>
      <c r="S633" s="13"/>
      <c r="T633" s="13"/>
      <c r="U633" s="13"/>
      <c r="V633" s="13"/>
    </row>
    <row r="634">
      <c r="A634" s="68" t="s">
        <v>910</v>
      </c>
      <c r="B634" s="41" t="s">
        <v>402</v>
      </c>
      <c r="C634" s="40" t="s">
        <v>81</v>
      </c>
      <c r="D634" s="41" t="s">
        <v>32</v>
      </c>
      <c r="E634" s="55">
        <v>154.44</v>
      </c>
      <c r="F634" s="71" t="s">
        <v>1340</v>
      </c>
      <c r="G634" s="41" t="s">
        <v>16</v>
      </c>
      <c r="H634" s="59" t="s">
        <v>1341</v>
      </c>
      <c r="I634" s="12"/>
      <c r="J634" s="12"/>
      <c r="K634" s="12"/>
      <c r="L634" s="12"/>
      <c r="M634" s="12"/>
      <c r="N634" s="12"/>
      <c r="O634" s="12"/>
      <c r="P634" s="12"/>
      <c r="Q634" s="13"/>
      <c r="R634" s="13"/>
      <c r="S634" s="13"/>
      <c r="T634" s="13"/>
      <c r="U634" s="13"/>
      <c r="V634" s="13"/>
    </row>
    <row r="635">
      <c r="A635" s="68" t="s">
        <v>926</v>
      </c>
      <c r="B635" s="41" t="s">
        <v>927</v>
      </c>
      <c r="C635" s="40" t="s">
        <v>928</v>
      </c>
      <c r="D635" s="41" t="s">
        <v>14</v>
      </c>
      <c r="E635" s="55">
        <v>1241.33</v>
      </c>
      <c r="F635" s="71" t="s">
        <v>1342</v>
      </c>
      <c r="G635" s="41" t="s">
        <v>16</v>
      </c>
      <c r="H635" s="59" t="s">
        <v>1343</v>
      </c>
      <c r="I635" s="12"/>
      <c r="J635" s="12"/>
      <c r="K635" s="12"/>
      <c r="L635" s="12"/>
      <c r="M635" s="12"/>
      <c r="N635" s="12"/>
      <c r="O635" s="12"/>
      <c r="P635" s="12"/>
      <c r="Q635" s="13"/>
      <c r="R635" s="13"/>
      <c r="S635" s="13"/>
      <c r="T635" s="13"/>
      <c r="U635" s="13"/>
      <c r="V635" s="13"/>
    </row>
    <row r="636">
      <c r="A636" s="68" t="s">
        <v>1344</v>
      </c>
      <c r="B636" s="41" t="s">
        <v>1345</v>
      </c>
      <c r="C636" s="40" t="s">
        <v>1346</v>
      </c>
      <c r="D636" s="41" t="s">
        <v>14</v>
      </c>
      <c r="E636" s="55">
        <v>30.0</v>
      </c>
      <c r="F636" s="71" t="s">
        <v>1347</v>
      </c>
      <c r="G636" s="41" t="s">
        <v>16</v>
      </c>
      <c r="H636" s="59" t="s">
        <v>1348</v>
      </c>
      <c r="I636" s="12"/>
      <c r="J636" s="12"/>
      <c r="K636" s="12"/>
      <c r="L636" s="12"/>
      <c r="M636" s="12"/>
      <c r="N636" s="12"/>
      <c r="O636" s="12"/>
      <c r="P636" s="12"/>
      <c r="Q636" s="13"/>
      <c r="R636" s="13"/>
      <c r="S636" s="13"/>
      <c r="T636" s="13"/>
      <c r="U636" s="13"/>
      <c r="V636" s="13"/>
    </row>
    <row r="637">
      <c r="A637" s="68" t="s">
        <v>1349</v>
      </c>
      <c r="B637" s="41" t="s">
        <v>1350</v>
      </c>
      <c r="C637" s="40" t="s">
        <v>1351</v>
      </c>
      <c r="D637" s="41" t="s">
        <v>14</v>
      </c>
      <c r="E637" s="55">
        <v>1305.0</v>
      </c>
      <c r="F637" s="71" t="s">
        <v>1352</v>
      </c>
      <c r="G637" s="41" t="s">
        <v>16</v>
      </c>
      <c r="H637" s="59" t="s">
        <v>1353</v>
      </c>
      <c r="I637" s="12"/>
      <c r="J637" s="12"/>
      <c r="K637" s="12"/>
      <c r="L637" s="12"/>
      <c r="M637" s="12"/>
      <c r="N637" s="12"/>
      <c r="O637" s="12"/>
      <c r="P637" s="12"/>
      <c r="Q637" s="13"/>
      <c r="R637" s="13"/>
      <c r="S637" s="13"/>
      <c r="T637" s="13"/>
      <c r="U637" s="13"/>
      <c r="V637" s="13"/>
    </row>
    <row r="638">
      <c r="A638" s="68" t="s">
        <v>566</v>
      </c>
      <c r="B638" s="41" t="s">
        <v>567</v>
      </c>
      <c r="C638" s="40" t="s">
        <v>568</v>
      </c>
      <c r="D638" s="41" t="s">
        <v>32</v>
      </c>
      <c r="E638" s="55">
        <v>46.38</v>
      </c>
      <c r="F638" s="71" t="s">
        <v>1354</v>
      </c>
      <c r="G638" s="41" t="s">
        <v>16</v>
      </c>
      <c r="H638" s="59" t="s">
        <v>1355</v>
      </c>
      <c r="I638" s="12"/>
      <c r="J638" s="12"/>
      <c r="K638" s="12"/>
      <c r="L638" s="12"/>
      <c r="M638" s="12"/>
      <c r="N638" s="12"/>
      <c r="O638" s="12"/>
      <c r="P638" s="12"/>
      <c r="Q638" s="13"/>
      <c r="R638" s="13"/>
      <c r="S638" s="13"/>
      <c r="T638" s="13"/>
      <c r="U638" s="13"/>
      <c r="V638" s="13"/>
    </row>
    <row r="639">
      <c r="A639" s="68" t="s">
        <v>1356</v>
      </c>
      <c r="B639" s="41" t="s">
        <v>1160</v>
      </c>
      <c r="C639" s="40" t="s">
        <v>1161</v>
      </c>
      <c r="D639" s="41" t="s">
        <v>14</v>
      </c>
      <c r="E639" s="55">
        <v>313.5</v>
      </c>
      <c r="F639" s="71" t="s">
        <v>1357</v>
      </c>
      <c r="G639" s="41" t="s">
        <v>16</v>
      </c>
      <c r="H639" s="59" t="s">
        <v>1358</v>
      </c>
      <c r="I639" s="12"/>
      <c r="J639" s="12"/>
      <c r="K639" s="12"/>
      <c r="L639" s="12"/>
      <c r="M639" s="12"/>
      <c r="N639" s="12"/>
      <c r="O639" s="12"/>
      <c r="P639" s="12"/>
      <c r="Q639" s="13"/>
      <c r="R639" s="13"/>
      <c r="S639" s="13"/>
      <c r="T639" s="13"/>
      <c r="U639" s="13"/>
      <c r="V639" s="13"/>
    </row>
    <row r="640">
      <c r="A640" s="68" t="s">
        <v>1359</v>
      </c>
      <c r="B640" s="41" t="s">
        <v>1360</v>
      </c>
      <c r="C640" s="40" t="s">
        <v>1361</v>
      </c>
      <c r="D640" s="41" t="s">
        <v>32</v>
      </c>
      <c r="E640" s="55">
        <v>5920.0</v>
      </c>
      <c r="F640" s="71" t="s">
        <v>1362</v>
      </c>
      <c r="G640" s="41" t="s">
        <v>16</v>
      </c>
      <c r="H640" s="59" t="s">
        <v>1363</v>
      </c>
      <c r="I640" s="12"/>
      <c r="J640" s="12"/>
      <c r="K640" s="12"/>
      <c r="L640" s="12"/>
      <c r="M640" s="12"/>
      <c r="N640" s="12"/>
      <c r="O640" s="12"/>
      <c r="P640" s="12"/>
      <c r="Q640" s="13"/>
      <c r="R640" s="13"/>
      <c r="S640" s="13"/>
      <c r="T640" s="13"/>
      <c r="U640" s="13"/>
      <c r="V640" s="13"/>
    </row>
    <row r="641">
      <c r="A641" s="68" t="s">
        <v>910</v>
      </c>
      <c r="B641" s="41" t="s">
        <v>402</v>
      </c>
      <c r="C641" s="40" t="s">
        <v>81</v>
      </c>
      <c r="D641" s="41" t="s">
        <v>32</v>
      </c>
      <c r="E641" s="55">
        <v>126.4</v>
      </c>
      <c r="F641" s="71" t="s">
        <v>1364</v>
      </c>
      <c r="G641" s="41" t="s">
        <v>16</v>
      </c>
      <c r="H641" s="59" t="s">
        <v>1365</v>
      </c>
      <c r="I641" s="12"/>
      <c r="J641" s="12"/>
      <c r="K641" s="12"/>
      <c r="L641" s="12"/>
      <c r="M641" s="12"/>
      <c r="N641" s="12"/>
      <c r="O641" s="12"/>
      <c r="P641" s="12"/>
      <c r="Q641" s="13"/>
      <c r="R641" s="13"/>
      <c r="S641" s="13"/>
      <c r="T641" s="13"/>
      <c r="U641" s="13"/>
      <c r="V641" s="13"/>
    </row>
    <row r="642">
      <c r="A642" s="68" t="s">
        <v>984</v>
      </c>
      <c r="B642" s="41" t="s">
        <v>985</v>
      </c>
      <c r="C642" s="40" t="s">
        <v>69</v>
      </c>
      <c r="D642" s="41" t="s">
        <v>14</v>
      </c>
      <c r="E642" s="55">
        <v>392.49</v>
      </c>
      <c r="F642" s="71" t="s">
        <v>1366</v>
      </c>
      <c r="G642" s="41" t="s">
        <v>16</v>
      </c>
      <c r="H642" s="59" t="s">
        <v>1367</v>
      </c>
      <c r="I642" s="12"/>
      <c r="J642" s="12"/>
      <c r="K642" s="12"/>
      <c r="L642" s="12"/>
      <c r="M642" s="12"/>
      <c r="N642" s="12"/>
      <c r="O642" s="12"/>
      <c r="P642" s="12"/>
      <c r="Q642" s="13"/>
      <c r="R642" s="13"/>
      <c r="S642" s="13"/>
      <c r="T642" s="13"/>
      <c r="U642" s="13"/>
      <c r="V642" s="13"/>
    </row>
    <row r="643">
      <c r="A643" s="68" t="s">
        <v>1224</v>
      </c>
      <c r="B643" s="41" t="s">
        <v>366</v>
      </c>
      <c r="C643" s="40" t="s">
        <v>367</v>
      </c>
      <c r="D643" s="41" t="s">
        <v>14</v>
      </c>
      <c r="E643" s="55">
        <v>40.79</v>
      </c>
      <c r="F643" s="71" t="s">
        <v>1368</v>
      </c>
      <c r="G643" s="41" t="s">
        <v>16</v>
      </c>
      <c r="H643" s="59" t="s">
        <v>1369</v>
      </c>
      <c r="I643" s="12"/>
      <c r="J643" s="12"/>
      <c r="K643" s="12"/>
      <c r="L643" s="12"/>
      <c r="M643" s="12"/>
      <c r="N643" s="12"/>
      <c r="O643" s="12"/>
      <c r="P643" s="12"/>
      <c r="Q643" s="13"/>
      <c r="R643" s="13"/>
      <c r="S643" s="13"/>
      <c r="T643" s="13"/>
      <c r="U643" s="13"/>
      <c r="V643" s="13"/>
    </row>
    <row r="644">
      <c r="A644" s="68" t="s">
        <v>1068</v>
      </c>
      <c r="B644" s="41" t="s">
        <v>1069</v>
      </c>
      <c r="C644" s="40" t="s">
        <v>1070</v>
      </c>
      <c r="D644" s="41" t="s">
        <v>14</v>
      </c>
      <c r="E644" s="55">
        <v>7552.18</v>
      </c>
      <c r="F644" s="71" t="s">
        <v>1370</v>
      </c>
      <c r="G644" s="41" t="s">
        <v>16</v>
      </c>
      <c r="H644" s="59" t="s">
        <v>1371</v>
      </c>
      <c r="I644" s="12"/>
      <c r="J644" s="12"/>
      <c r="K644" s="12"/>
      <c r="L644" s="12"/>
      <c r="M644" s="12"/>
      <c r="N644" s="12"/>
      <c r="O644" s="12"/>
      <c r="P644" s="12"/>
      <c r="Q644" s="13"/>
      <c r="R644" s="13"/>
      <c r="S644" s="13"/>
      <c r="T644" s="13"/>
      <c r="U644" s="13"/>
      <c r="V644" s="13"/>
    </row>
    <row r="645">
      <c r="A645" s="68" t="s">
        <v>857</v>
      </c>
      <c r="B645" s="41" t="s">
        <v>750</v>
      </c>
      <c r="C645" s="40" t="s">
        <v>195</v>
      </c>
      <c r="D645" s="41" t="s">
        <v>14</v>
      </c>
      <c r="E645" s="55">
        <v>200.0</v>
      </c>
      <c r="F645" s="71" t="s">
        <v>1372</v>
      </c>
      <c r="G645" s="41" t="s">
        <v>16</v>
      </c>
      <c r="H645" s="59" t="s">
        <v>1373</v>
      </c>
      <c r="I645" s="12"/>
      <c r="J645" s="12"/>
      <c r="K645" s="12"/>
      <c r="L645" s="12"/>
      <c r="M645" s="12"/>
      <c r="N645" s="12"/>
      <c r="O645" s="12"/>
      <c r="P645" s="12"/>
      <c r="Q645" s="13"/>
      <c r="R645" s="13"/>
      <c r="S645" s="13"/>
      <c r="T645" s="13"/>
      <c r="U645" s="13"/>
      <c r="V645" s="13"/>
    </row>
    <row r="646">
      <c r="A646" s="68" t="s">
        <v>870</v>
      </c>
      <c r="B646" s="41" t="s">
        <v>366</v>
      </c>
      <c r="C646" s="40" t="s">
        <v>367</v>
      </c>
      <c r="D646" s="41" t="s">
        <v>14</v>
      </c>
      <c r="E646" s="55">
        <v>255.0</v>
      </c>
      <c r="F646" s="71" t="s">
        <v>1374</v>
      </c>
      <c r="G646" s="41" t="s">
        <v>16</v>
      </c>
      <c r="H646" s="59" t="s">
        <v>1375</v>
      </c>
      <c r="I646" s="12"/>
      <c r="J646" s="12"/>
      <c r="K646" s="12"/>
      <c r="L646" s="12"/>
      <c r="M646" s="12"/>
      <c r="N646" s="12"/>
      <c r="O646" s="12"/>
      <c r="P646" s="12"/>
      <c r="Q646" s="13"/>
      <c r="R646" s="13"/>
      <c r="S646" s="13"/>
      <c r="T646" s="13"/>
      <c r="U646" s="13"/>
      <c r="V646" s="13"/>
    </row>
    <row r="647">
      <c r="A647" s="68" t="s">
        <v>1298</v>
      </c>
      <c r="B647" s="41" t="s">
        <v>1299</v>
      </c>
      <c r="C647" s="40" t="s">
        <v>1300</v>
      </c>
      <c r="D647" s="41" t="s">
        <v>14</v>
      </c>
      <c r="E647" s="55">
        <v>3225.25</v>
      </c>
      <c r="F647" s="71" t="s">
        <v>1376</v>
      </c>
      <c r="G647" s="41" t="s">
        <v>16</v>
      </c>
      <c r="H647" s="59" t="s">
        <v>1377</v>
      </c>
      <c r="I647" s="12"/>
      <c r="J647" s="12"/>
      <c r="K647" s="12"/>
      <c r="L647" s="12"/>
      <c r="M647" s="12"/>
      <c r="N647" s="12"/>
      <c r="O647" s="12"/>
      <c r="P647" s="12"/>
      <c r="Q647" s="13"/>
      <c r="R647" s="13"/>
      <c r="S647" s="13"/>
      <c r="T647" s="13"/>
      <c r="U647" s="13"/>
      <c r="V647" s="13"/>
    </row>
    <row r="648">
      <c r="A648" s="68" t="s">
        <v>1378</v>
      </c>
      <c r="B648" s="41" t="s">
        <v>1379</v>
      </c>
      <c r="C648" s="40" t="s">
        <v>1380</v>
      </c>
      <c r="D648" s="41" t="s">
        <v>32</v>
      </c>
      <c r="E648" s="55">
        <v>4759.62</v>
      </c>
      <c r="F648" s="71" t="s">
        <v>1381</v>
      </c>
      <c r="G648" s="41" t="s">
        <v>16</v>
      </c>
      <c r="H648" s="59" t="s">
        <v>1382</v>
      </c>
      <c r="I648" s="12"/>
      <c r="J648" s="12"/>
      <c r="K648" s="12"/>
      <c r="L648" s="12"/>
      <c r="M648" s="12"/>
      <c r="N648" s="12"/>
      <c r="O648" s="12"/>
      <c r="P648" s="12"/>
      <c r="Q648" s="13"/>
      <c r="R648" s="13"/>
      <c r="S648" s="13"/>
      <c r="T648" s="13"/>
      <c r="U648" s="13"/>
      <c r="V648" s="13"/>
    </row>
    <row r="649">
      <c r="A649" s="68" t="s">
        <v>566</v>
      </c>
      <c r="B649" s="41" t="s">
        <v>567</v>
      </c>
      <c r="C649" s="40" t="s">
        <v>568</v>
      </c>
      <c r="D649" s="41" t="s">
        <v>32</v>
      </c>
      <c r="E649" s="55">
        <v>34.56</v>
      </c>
      <c r="F649" s="71" t="s">
        <v>1383</v>
      </c>
      <c r="G649" s="41" t="s">
        <v>16</v>
      </c>
      <c r="H649" s="59" t="s">
        <v>1384</v>
      </c>
      <c r="I649" s="12"/>
      <c r="J649" s="12"/>
      <c r="K649" s="12"/>
      <c r="L649" s="12"/>
      <c r="M649" s="12"/>
      <c r="N649" s="12"/>
      <c r="O649" s="12"/>
      <c r="P649" s="12"/>
      <c r="Q649" s="13"/>
      <c r="R649" s="13"/>
      <c r="S649" s="13"/>
      <c r="T649" s="13"/>
      <c r="U649" s="13"/>
      <c r="V649" s="13"/>
    </row>
    <row r="650">
      <c r="A650" s="68" t="s">
        <v>910</v>
      </c>
      <c r="B650" s="41" t="s">
        <v>402</v>
      </c>
      <c r="C650" s="40" t="s">
        <v>81</v>
      </c>
      <c r="D650" s="41" t="s">
        <v>32</v>
      </c>
      <c r="E650" s="55">
        <v>92.16</v>
      </c>
      <c r="F650" s="71" t="s">
        <v>1385</v>
      </c>
      <c r="G650" s="41" t="s">
        <v>16</v>
      </c>
      <c r="H650" s="59" t="s">
        <v>1386</v>
      </c>
      <c r="I650" s="12"/>
      <c r="J650" s="12"/>
      <c r="K650" s="12"/>
      <c r="L650" s="12"/>
      <c r="M650" s="12"/>
      <c r="N650" s="12"/>
      <c r="O650" s="12"/>
      <c r="P650" s="12"/>
      <c r="Q650" s="13"/>
      <c r="R650" s="13"/>
      <c r="S650" s="13"/>
      <c r="T650" s="13"/>
      <c r="U650" s="13"/>
      <c r="V650" s="13"/>
    </row>
    <row r="651">
      <c r="A651" s="68" t="s">
        <v>926</v>
      </c>
      <c r="B651" s="41" t="s">
        <v>927</v>
      </c>
      <c r="C651" s="40" t="s">
        <v>928</v>
      </c>
      <c r="D651" s="41" t="s">
        <v>14</v>
      </c>
      <c r="E651" s="55">
        <v>809.7</v>
      </c>
      <c r="F651" s="71" t="s">
        <v>1387</v>
      </c>
      <c r="G651" s="41" t="s">
        <v>16</v>
      </c>
      <c r="H651" s="59" t="s">
        <v>1388</v>
      </c>
      <c r="I651" s="12"/>
      <c r="J651" s="12"/>
      <c r="K651" s="12"/>
      <c r="L651" s="12"/>
      <c r="M651" s="12"/>
      <c r="N651" s="12"/>
      <c r="O651" s="12"/>
      <c r="P651" s="12"/>
      <c r="Q651" s="13"/>
      <c r="R651" s="13"/>
      <c r="S651" s="13"/>
      <c r="T651" s="13"/>
      <c r="U651" s="13"/>
      <c r="V651" s="13"/>
    </row>
    <row r="652">
      <c r="A652" s="68" t="s">
        <v>1073</v>
      </c>
      <c r="B652" s="41" t="s">
        <v>702</v>
      </c>
      <c r="C652" s="40" t="s">
        <v>115</v>
      </c>
      <c r="D652" s="41" t="s">
        <v>14</v>
      </c>
      <c r="E652" s="55">
        <v>11075.95</v>
      </c>
      <c r="F652" s="71" t="s">
        <v>1389</v>
      </c>
      <c r="G652" s="41" t="s">
        <v>16</v>
      </c>
      <c r="H652" s="59" t="s">
        <v>1390</v>
      </c>
      <c r="I652" s="12"/>
      <c r="J652" s="12"/>
      <c r="K652" s="12"/>
      <c r="L652" s="12"/>
      <c r="M652" s="12"/>
      <c r="N652" s="12"/>
      <c r="O652" s="12"/>
      <c r="P652" s="12"/>
      <c r="Q652" s="13"/>
      <c r="R652" s="13"/>
      <c r="S652" s="13"/>
      <c r="T652" s="13"/>
      <c r="U652" s="13"/>
      <c r="V652" s="13"/>
    </row>
    <row r="653">
      <c r="A653" s="68" t="s">
        <v>1391</v>
      </c>
      <c r="B653" s="41" t="s">
        <v>1392</v>
      </c>
      <c r="C653" s="40" t="s">
        <v>1393</v>
      </c>
      <c r="D653" s="41" t="s">
        <v>1185</v>
      </c>
      <c r="E653" s="55">
        <v>2426.0</v>
      </c>
      <c r="F653" s="71" t="s">
        <v>1394</v>
      </c>
      <c r="G653" s="41" t="s">
        <v>16</v>
      </c>
      <c r="H653" s="59" t="s">
        <v>1395</v>
      </c>
      <c r="I653" s="12"/>
      <c r="J653" s="12"/>
      <c r="K653" s="12"/>
      <c r="L653" s="12"/>
      <c r="M653" s="12"/>
      <c r="N653" s="12"/>
      <c r="O653" s="12"/>
      <c r="P653" s="12"/>
      <c r="Q653" s="13"/>
      <c r="R653" s="13"/>
      <c r="S653" s="13"/>
      <c r="T653" s="13"/>
      <c r="U653" s="13"/>
      <c r="V653" s="13"/>
    </row>
    <row r="654">
      <c r="A654" s="68" t="s">
        <v>1396</v>
      </c>
      <c r="B654" s="41" t="s">
        <v>1397</v>
      </c>
      <c r="C654" s="40" t="s">
        <v>1398</v>
      </c>
      <c r="D654" s="41" t="s">
        <v>32</v>
      </c>
      <c r="E654" s="55">
        <v>1740.0</v>
      </c>
      <c r="F654" s="71" t="s">
        <v>1399</v>
      </c>
      <c r="G654" s="41" t="s">
        <v>16</v>
      </c>
      <c r="H654" s="59" t="s">
        <v>1400</v>
      </c>
      <c r="I654" s="12"/>
      <c r="J654" s="12"/>
      <c r="K654" s="12"/>
      <c r="L654" s="12"/>
      <c r="M654" s="12"/>
      <c r="N654" s="12"/>
      <c r="O654" s="12"/>
      <c r="P654" s="12"/>
      <c r="Q654" s="13"/>
      <c r="R654" s="13"/>
      <c r="S654" s="13"/>
      <c r="T654" s="13"/>
      <c r="U654" s="13"/>
      <c r="V654" s="13"/>
    </row>
    <row r="655">
      <c r="A655" s="68" t="s">
        <v>1057</v>
      </c>
      <c r="B655" s="41" t="s">
        <v>96</v>
      </c>
      <c r="C655" s="40" t="s">
        <v>97</v>
      </c>
      <c r="D655" s="41" t="s">
        <v>32</v>
      </c>
      <c r="E655" s="55">
        <v>847.0</v>
      </c>
      <c r="F655" s="71" t="s">
        <v>1401</v>
      </c>
      <c r="G655" s="41" t="s">
        <v>16</v>
      </c>
      <c r="H655" s="59" t="s">
        <v>1402</v>
      </c>
      <c r="I655" s="12"/>
      <c r="J655" s="12"/>
      <c r="K655" s="12"/>
      <c r="L655" s="12"/>
      <c r="M655" s="12"/>
      <c r="N655" s="12"/>
      <c r="O655" s="12"/>
      <c r="P655" s="12"/>
      <c r="Q655" s="13"/>
      <c r="R655" s="13"/>
      <c r="S655" s="13"/>
      <c r="T655" s="13"/>
      <c r="U655" s="13"/>
      <c r="V655" s="13"/>
    </row>
    <row r="656">
      <c r="A656" s="68" t="s">
        <v>1057</v>
      </c>
      <c r="B656" s="41" t="s">
        <v>96</v>
      </c>
      <c r="C656" s="40" t="s">
        <v>97</v>
      </c>
      <c r="D656" s="41" t="s">
        <v>32</v>
      </c>
      <c r="E656" s="55">
        <v>910.56</v>
      </c>
      <c r="F656" s="71" t="s">
        <v>1403</v>
      </c>
      <c r="G656" s="41" t="s">
        <v>16</v>
      </c>
      <c r="H656" s="59" t="s">
        <v>1404</v>
      </c>
      <c r="I656" s="12"/>
      <c r="J656" s="12"/>
      <c r="K656" s="12"/>
      <c r="L656" s="12"/>
      <c r="M656" s="12"/>
      <c r="N656" s="12"/>
      <c r="O656" s="12"/>
      <c r="P656" s="12"/>
      <c r="Q656" s="13"/>
      <c r="R656" s="13"/>
      <c r="S656" s="13"/>
      <c r="T656" s="13"/>
      <c r="U656" s="13"/>
      <c r="V656" s="13"/>
    </row>
    <row r="657">
      <c r="A657" s="68" t="s">
        <v>1391</v>
      </c>
      <c r="B657" s="41" t="s">
        <v>1392</v>
      </c>
      <c r="C657" s="40" t="s">
        <v>1393</v>
      </c>
      <c r="D657" s="41" t="s">
        <v>1185</v>
      </c>
      <c r="E657" s="55">
        <v>3234.0</v>
      </c>
      <c r="F657" s="71" t="s">
        <v>1405</v>
      </c>
      <c r="G657" s="41" t="s">
        <v>16</v>
      </c>
      <c r="H657" s="59" t="s">
        <v>1406</v>
      </c>
      <c r="I657" s="12"/>
      <c r="J657" s="12"/>
      <c r="K657" s="12"/>
      <c r="L657" s="12"/>
      <c r="M657" s="12"/>
      <c r="N657" s="12"/>
      <c r="O657" s="12"/>
      <c r="P657" s="12"/>
      <c r="Q657" s="13"/>
      <c r="R657" s="13"/>
      <c r="S657" s="13"/>
      <c r="T657" s="13"/>
      <c r="U657" s="13"/>
      <c r="V657" s="13"/>
    </row>
    <row r="658">
      <c r="A658" s="68" t="s">
        <v>1391</v>
      </c>
      <c r="B658" s="41" t="s">
        <v>1392</v>
      </c>
      <c r="C658" s="40" t="s">
        <v>1393</v>
      </c>
      <c r="D658" s="41" t="s">
        <v>1185</v>
      </c>
      <c r="E658" s="55">
        <v>3234.0</v>
      </c>
      <c r="F658" s="71" t="s">
        <v>1407</v>
      </c>
      <c r="G658" s="41" t="s">
        <v>16</v>
      </c>
      <c r="H658" s="59" t="s">
        <v>1408</v>
      </c>
      <c r="I658" s="12"/>
      <c r="J658" s="12"/>
      <c r="K658" s="12"/>
      <c r="L658" s="12"/>
      <c r="M658" s="12"/>
      <c r="N658" s="12"/>
      <c r="O658" s="12"/>
      <c r="P658" s="12"/>
      <c r="Q658" s="13"/>
      <c r="R658" s="13"/>
      <c r="S658" s="13"/>
      <c r="T658" s="13"/>
      <c r="U658" s="13"/>
      <c r="V658" s="13"/>
    </row>
    <row r="659">
      <c r="A659" s="68" t="s">
        <v>1313</v>
      </c>
      <c r="B659" s="41" t="s">
        <v>1314</v>
      </c>
      <c r="C659" s="40" t="s">
        <v>1315</v>
      </c>
      <c r="D659" s="41" t="s">
        <v>32</v>
      </c>
      <c r="E659" s="55">
        <v>1274.92</v>
      </c>
      <c r="F659" s="71" t="s">
        <v>1409</v>
      </c>
      <c r="G659" s="41" t="s">
        <v>16</v>
      </c>
      <c r="H659" s="59" t="s">
        <v>1410</v>
      </c>
      <c r="I659" s="12"/>
      <c r="J659" s="12"/>
      <c r="K659" s="12"/>
      <c r="L659" s="12"/>
      <c r="M659" s="12"/>
      <c r="N659" s="12"/>
      <c r="O659" s="12"/>
      <c r="P659" s="12"/>
      <c r="Q659" s="13"/>
      <c r="R659" s="13"/>
      <c r="S659" s="13"/>
      <c r="T659" s="13"/>
      <c r="U659" s="13"/>
      <c r="V659" s="13"/>
    </row>
    <row r="660">
      <c r="A660" s="68" t="s">
        <v>1135</v>
      </c>
      <c r="B660" s="41" t="s">
        <v>346</v>
      </c>
      <c r="C660" s="40" t="s">
        <v>347</v>
      </c>
      <c r="D660" s="41" t="s">
        <v>14</v>
      </c>
      <c r="E660" s="55">
        <v>63.0</v>
      </c>
      <c r="F660" s="71" t="s">
        <v>1411</v>
      </c>
      <c r="G660" s="41" t="s">
        <v>16</v>
      </c>
      <c r="H660" s="59" t="s">
        <v>1412</v>
      </c>
      <c r="I660" s="12"/>
      <c r="J660" s="12"/>
      <c r="K660" s="12"/>
      <c r="L660" s="12"/>
      <c r="M660" s="12"/>
      <c r="N660" s="12"/>
      <c r="O660" s="12"/>
      <c r="P660" s="12"/>
      <c r="Q660" s="13"/>
      <c r="R660" s="13"/>
      <c r="S660" s="13"/>
      <c r="T660" s="13"/>
      <c r="U660" s="13"/>
      <c r="V660" s="13"/>
    </row>
    <row r="661">
      <c r="A661" s="68" t="s">
        <v>1135</v>
      </c>
      <c r="B661" s="41" t="s">
        <v>346</v>
      </c>
      <c r="C661" s="40" t="s">
        <v>347</v>
      </c>
      <c r="D661" s="41" t="s">
        <v>14</v>
      </c>
      <c r="E661" s="55">
        <v>1257.37</v>
      </c>
      <c r="F661" s="71" t="s">
        <v>1413</v>
      </c>
      <c r="G661" s="41" t="s">
        <v>16</v>
      </c>
      <c r="H661" s="59" t="s">
        <v>1414</v>
      </c>
      <c r="I661" s="12"/>
      <c r="J661" s="12"/>
      <c r="K661" s="12"/>
      <c r="L661" s="12"/>
      <c r="M661" s="12"/>
      <c r="N661" s="12"/>
      <c r="O661" s="12"/>
      <c r="P661" s="12"/>
      <c r="Q661" s="13"/>
      <c r="R661" s="13"/>
      <c r="S661" s="13"/>
      <c r="T661" s="13"/>
      <c r="U661" s="13"/>
      <c r="V661" s="13"/>
    </row>
    <row r="662">
      <c r="A662" s="68" t="s">
        <v>1415</v>
      </c>
      <c r="B662" s="41" t="s">
        <v>1416</v>
      </c>
      <c r="C662" s="40" t="s">
        <v>1417</v>
      </c>
      <c r="D662" s="41" t="s">
        <v>32</v>
      </c>
      <c r="E662" s="55">
        <v>37480.5</v>
      </c>
      <c r="F662" s="71" t="s">
        <v>1418</v>
      </c>
      <c r="G662" s="41" t="s">
        <v>16</v>
      </c>
      <c r="H662" s="59" t="s">
        <v>1419</v>
      </c>
      <c r="I662" s="12"/>
      <c r="J662" s="12"/>
      <c r="K662" s="12"/>
      <c r="L662" s="12"/>
      <c r="M662" s="12"/>
      <c r="N662" s="12"/>
      <c r="O662" s="12"/>
      <c r="P662" s="12"/>
      <c r="Q662" s="13"/>
      <c r="R662" s="13"/>
      <c r="S662" s="13"/>
      <c r="T662" s="13"/>
      <c r="U662" s="13"/>
      <c r="V662" s="13"/>
    </row>
    <row r="663">
      <c r="A663" s="68" t="s">
        <v>1420</v>
      </c>
      <c r="B663" s="41" t="s">
        <v>1189</v>
      </c>
      <c r="C663" s="40" t="s">
        <v>1190</v>
      </c>
      <c r="D663" s="41" t="s">
        <v>32</v>
      </c>
      <c r="E663" s="55">
        <v>451.0</v>
      </c>
      <c r="F663" s="71" t="s">
        <v>1421</v>
      </c>
      <c r="G663" s="41" t="s">
        <v>16</v>
      </c>
      <c r="H663" s="59" t="s">
        <v>1422</v>
      </c>
      <c r="I663" s="12"/>
      <c r="J663" s="12"/>
      <c r="K663" s="12"/>
      <c r="L663" s="12"/>
      <c r="M663" s="12"/>
      <c r="N663" s="12"/>
      <c r="O663" s="12"/>
      <c r="P663" s="12"/>
      <c r="Q663" s="13"/>
      <c r="R663" s="13"/>
      <c r="S663" s="13"/>
      <c r="T663" s="13"/>
      <c r="U663" s="13"/>
      <c r="V663" s="13"/>
    </row>
    <row r="664">
      <c r="A664" s="68" t="s">
        <v>566</v>
      </c>
      <c r="B664" s="41" t="s">
        <v>567</v>
      </c>
      <c r="C664" s="40" t="s">
        <v>568</v>
      </c>
      <c r="D664" s="41" t="s">
        <v>32</v>
      </c>
      <c r="E664" s="55">
        <v>30.8</v>
      </c>
      <c r="F664" s="71" t="s">
        <v>1423</v>
      </c>
      <c r="G664" s="41" t="s">
        <v>16</v>
      </c>
      <c r="H664" s="59" t="s">
        <v>1424</v>
      </c>
      <c r="I664" s="12"/>
      <c r="J664" s="12"/>
      <c r="K664" s="12"/>
      <c r="L664" s="12"/>
      <c r="M664" s="12"/>
      <c r="N664" s="12"/>
      <c r="O664" s="12"/>
      <c r="P664" s="12"/>
      <c r="Q664" s="13"/>
      <c r="R664" s="13"/>
      <c r="S664" s="13"/>
      <c r="T664" s="13"/>
      <c r="U664" s="13"/>
      <c r="V664" s="13"/>
    </row>
    <row r="665">
      <c r="A665" s="68" t="s">
        <v>1344</v>
      </c>
      <c r="B665" s="41" t="s">
        <v>1345</v>
      </c>
      <c r="C665" s="40" t="s">
        <v>1346</v>
      </c>
      <c r="D665" s="41" t="s">
        <v>14</v>
      </c>
      <c r="E665" s="55">
        <v>54.9</v>
      </c>
      <c r="F665" s="71" t="s">
        <v>1425</v>
      </c>
      <c r="G665" s="41" t="s">
        <v>16</v>
      </c>
      <c r="H665" s="59" t="s">
        <v>1426</v>
      </c>
      <c r="I665" s="12"/>
      <c r="J665" s="12"/>
      <c r="K665" s="12"/>
      <c r="L665" s="12"/>
      <c r="M665" s="12"/>
      <c r="N665" s="12"/>
      <c r="O665" s="12"/>
      <c r="P665" s="12"/>
      <c r="Q665" s="13"/>
      <c r="R665" s="13"/>
      <c r="S665" s="13"/>
      <c r="T665" s="13"/>
      <c r="U665" s="13"/>
      <c r="V665" s="13"/>
    </row>
    <row r="666">
      <c r="A666" s="68" t="s">
        <v>1427</v>
      </c>
      <c r="B666" s="41" t="s">
        <v>1428</v>
      </c>
      <c r="C666" s="40" t="s">
        <v>1429</v>
      </c>
      <c r="D666" s="41" t="s">
        <v>32</v>
      </c>
      <c r="E666" s="55">
        <v>102.0</v>
      </c>
      <c r="F666" s="71" t="s">
        <v>1430</v>
      </c>
      <c r="G666" s="41" t="s">
        <v>16</v>
      </c>
      <c r="H666" s="59" t="s">
        <v>1431</v>
      </c>
      <c r="I666" s="12"/>
      <c r="J666" s="12"/>
      <c r="K666" s="12"/>
      <c r="L666" s="12"/>
      <c r="M666" s="12"/>
      <c r="N666" s="12"/>
      <c r="O666" s="12"/>
      <c r="P666" s="12"/>
      <c r="Q666" s="13"/>
      <c r="R666" s="13"/>
      <c r="S666" s="13"/>
      <c r="T666" s="13"/>
      <c r="U666" s="13"/>
      <c r="V666" s="13"/>
    </row>
    <row r="667">
      <c r="A667" s="68" t="s">
        <v>1068</v>
      </c>
      <c r="B667" s="41" t="s">
        <v>1069</v>
      </c>
      <c r="C667" s="40" t="s">
        <v>1070</v>
      </c>
      <c r="D667" s="41" t="s">
        <v>14</v>
      </c>
      <c r="E667" s="55">
        <v>5922.72</v>
      </c>
      <c r="F667" s="71" t="s">
        <v>1432</v>
      </c>
      <c r="G667" s="41" t="s">
        <v>16</v>
      </c>
      <c r="H667" s="59" t="s">
        <v>1433</v>
      </c>
      <c r="I667" s="12"/>
      <c r="J667" s="12"/>
      <c r="K667" s="12"/>
      <c r="L667" s="12"/>
      <c r="M667" s="12"/>
      <c r="N667" s="12"/>
      <c r="O667" s="12"/>
      <c r="P667" s="12"/>
      <c r="Q667" s="13"/>
      <c r="R667" s="13"/>
      <c r="S667" s="13"/>
      <c r="T667" s="13"/>
      <c r="U667" s="13"/>
      <c r="V667" s="13"/>
    </row>
    <row r="668">
      <c r="A668" s="68" t="s">
        <v>1434</v>
      </c>
      <c r="B668" s="41" t="s">
        <v>1435</v>
      </c>
      <c r="C668" s="40" t="s">
        <v>1436</v>
      </c>
      <c r="D668" s="41" t="s">
        <v>14</v>
      </c>
      <c r="E668" s="55">
        <v>12920.0</v>
      </c>
      <c r="F668" s="71" t="s">
        <v>1437</v>
      </c>
      <c r="G668" s="41" t="s">
        <v>16</v>
      </c>
      <c r="H668" s="59" t="s">
        <v>1438</v>
      </c>
      <c r="I668" s="12"/>
      <c r="J668" s="12"/>
      <c r="K668" s="12"/>
      <c r="L668" s="12"/>
      <c r="M668" s="12"/>
      <c r="N668" s="12"/>
      <c r="O668" s="12"/>
      <c r="P668" s="12"/>
      <c r="Q668" s="13"/>
      <c r="R668" s="13"/>
      <c r="S668" s="13"/>
      <c r="T668" s="13"/>
      <c r="U668" s="13"/>
      <c r="V668" s="13"/>
    </row>
    <row r="669">
      <c r="A669" s="68" t="s">
        <v>1439</v>
      </c>
      <c r="B669" s="41" t="s">
        <v>1440</v>
      </c>
      <c r="C669" s="40" t="s">
        <v>1441</v>
      </c>
      <c r="D669" s="41" t="s">
        <v>32</v>
      </c>
      <c r="E669" s="55">
        <v>745.0</v>
      </c>
      <c r="F669" s="71" t="s">
        <v>1442</v>
      </c>
      <c r="G669" s="41" t="s">
        <v>16</v>
      </c>
      <c r="H669" s="59" t="s">
        <v>1443</v>
      </c>
      <c r="I669" s="12"/>
      <c r="J669" s="12"/>
      <c r="K669" s="12"/>
      <c r="L669" s="12"/>
      <c r="M669" s="12"/>
      <c r="N669" s="12"/>
      <c r="O669" s="12"/>
      <c r="P669" s="12"/>
      <c r="Q669" s="13"/>
      <c r="R669" s="13"/>
      <c r="S669" s="13"/>
      <c r="T669" s="13"/>
      <c r="U669" s="13"/>
      <c r="V669" s="13"/>
    </row>
    <row r="670">
      <c r="A670" s="68" t="s">
        <v>1444</v>
      </c>
      <c r="B670" s="41" t="s">
        <v>1203</v>
      </c>
      <c r="C670" s="40" t="s">
        <v>1445</v>
      </c>
      <c r="D670" s="41" t="s">
        <v>32</v>
      </c>
      <c r="E670" s="55">
        <v>124.8</v>
      </c>
      <c r="F670" s="71" t="s">
        <v>1446</v>
      </c>
      <c r="G670" s="41" t="s">
        <v>16</v>
      </c>
      <c r="H670" s="59" t="s">
        <v>1447</v>
      </c>
      <c r="I670" s="12"/>
      <c r="J670" s="12"/>
      <c r="K670" s="12"/>
      <c r="L670" s="12"/>
      <c r="M670" s="12"/>
      <c r="N670" s="12"/>
      <c r="O670" s="12"/>
      <c r="P670" s="12"/>
      <c r="Q670" s="13"/>
      <c r="R670" s="13"/>
      <c r="S670" s="13"/>
      <c r="T670" s="13"/>
      <c r="U670" s="13"/>
      <c r="V670" s="13"/>
    </row>
    <row r="671">
      <c r="A671" s="68" t="s">
        <v>1448</v>
      </c>
      <c r="B671" s="41" t="s">
        <v>1449</v>
      </c>
      <c r="C671" s="40" t="s">
        <v>1450</v>
      </c>
      <c r="D671" s="41" t="s">
        <v>32</v>
      </c>
      <c r="E671" s="55">
        <v>262.2</v>
      </c>
      <c r="F671" s="71" t="s">
        <v>1451</v>
      </c>
      <c r="G671" s="41" t="s">
        <v>16</v>
      </c>
      <c r="H671" s="59" t="s">
        <v>1452</v>
      </c>
      <c r="I671" s="12"/>
      <c r="J671" s="12"/>
      <c r="K671" s="12"/>
      <c r="L671" s="12"/>
      <c r="M671" s="12"/>
      <c r="N671" s="12"/>
      <c r="O671" s="12"/>
      <c r="P671" s="12"/>
      <c r="Q671" s="13"/>
      <c r="R671" s="13"/>
      <c r="S671" s="13"/>
      <c r="T671" s="13"/>
      <c r="U671" s="13"/>
      <c r="V671" s="13"/>
    </row>
    <row r="672">
      <c r="A672" s="68" t="s">
        <v>1287</v>
      </c>
      <c r="B672" s="41" t="s">
        <v>1288</v>
      </c>
      <c r="C672" s="40" t="s">
        <v>1289</v>
      </c>
      <c r="D672" s="41" t="s">
        <v>32</v>
      </c>
      <c r="E672" s="55">
        <v>2800.0</v>
      </c>
      <c r="F672" s="71" t="s">
        <v>1453</v>
      </c>
      <c r="G672" s="41" t="s">
        <v>16</v>
      </c>
      <c r="H672" s="59" t="s">
        <v>1454</v>
      </c>
      <c r="I672" s="12"/>
      <c r="J672" s="12"/>
      <c r="K672" s="12"/>
      <c r="L672" s="12"/>
      <c r="M672" s="12"/>
      <c r="N672" s="12"/>
      <c r="O672" s="12"/>
      <c r="P672" s="12"/>
      <c r="Q672" s="13"/>
      <c r="R672" s="13"/>
      <c r="S672" s="13"/>
      <c r="T672" s="13"/>
      <c r="U672" s="13"/>
      <c r="V672" s="13"/>
    </row>
    <row r="673">
      <c r="A673" s="68" t="s">
        <v>1455</v>
      </c>
      <c r="B673" s="41" t="s">
        <v>366</v>
      </c>
      <c r="C673" s="40" t="s">
        <v>367</v>
      </c>
      <c r="D673" s="41" t="s">
        <v>14</v>
      </c>
      <c r="E673" s="55">
        <v>18.02</v>
      </c>
      <c r="F673" s="71" t="s">
        <v>1456</v>
      </c>
      <c r="G673" s="41" t="s">
        <v>16</v>
      </c>
      <c r="H673" s="59" t="s">
        <v>1457</v>
      </c>
      <c r="I673" s="12"/>
      <c r="J673" s="12"/>
      <c r="K673" s="12"/>
      <c r="L673" s="12"/>
      <c r="M673" s="12"/>
      <c r="N673" s="12"/>
      <c r="O673" s="12"/>
      <c r="P673" s="12"/>
      <c r="Q673" s="13"/>
      <c r="R673" s="13"/>
      <c r="S673" s="13"/>
      <c r="T673" s="13"/>
      <c r="U673" s="13"/>
      <c r="V673" s="13"/>
    </row>
    <row r="674">
      <c r="A674" s="68" t="s">
        <v>945</v>
      </c>
      <c r="B674" s="41" t="s">
        <v>617</v>
      </c>
      <c r="C674" s="40" t="s">
        <v>618</v>
      </c>
      <c r="D674" s="41" t="s">
        <v>32</v>
      </c>
      <c r="E674" s="55">
        <v>337.38</v>
      </c>
      <c r="F674" s="71" t="s">
        <v>1458</v>
      </c>
      <c r="G674" s="41" t="s">
        <v>16</v>
      </c>
      <c r="H674" s="59" t="s">
        <v>1459</v>
      </c>
      <c r="I674" s="12"/>
      <c r="J674" s="12"/>
      <c r="K674" s="12"/>
      <c r="L674" s="12"/>
      <c r="M674" s="12"/>
      <c r="N674" s="12"/>
      <c r="O674" s="12"/>
      <c r="P674" s="12"/>
      <c r="Q674" s="13"/>
      <c r="R674" s="13"/>
      <c r="S674" s="13"/>
      <c r="T674" s="13"/>
      <c r="U674" s="13"/>
      <c r="V674" s="13"/>
    </row>
    <row r="675">
      <c r="A675" s="68" t="s">
        <v>1391</v>
      </c>
      <c r="B675" s="41" t="s">
        <v>1392</v>
      </c>
      <c r="C675" s="40" t="s">
        <v>1393</v>
      </c>
      <c r="D675" s="41" t="s">
        <v>1185</v>
      </c>
      <c r="E675" s="55">
        <v>3234.0</v>
      </c>
      <c r="F675" s="71" t="s">
        <v>1460</v>
      </c>
      <c r="G675" s="41" t="s">
        <v>16</v>
      </c>
      <c r="H675" s="59" t="s">
        <v>1461</v>
      </c>
      <c r="I675" s="12"/>
      <c r="J675" s="12"/>
      <c r="K675" s="12"/>
      <c r="L675" s="12"/>
      <c r="M675" s="12"/>
      <c r="N675" s="12"/>
      <c r="O675" s="12"/>
      <c r="P675" s="12"/>
      <c r="Q675" s="13"/>
      <c r="R675" s="13"/>
      <c r="S675" s="13"/>
      <c r="T675" s="13"/>
      <c r="U675" s="13"/>
      <c r="V675" s="13"/>
    </row>
    <row r="676">
      <c r="A676" s="68" t="s">
        <v>1462</v>
      </c>
      <c r="B676" s="41" t="s">
        <v>1463</v>
      </c>
      <c r="C676" s="40" t="s">
        <v>1464</v>
      </c>
      <c r="D676" s="41" t="s">
        <v>32</v>
      </c>
      <c r="E676" s="55">
        <v>11688.36</v>
      </c>
      <c r="F676" s="71" t="s">
        <v>1465</v>
      </c>
      <c r="G676" s="41" t="s">
        <v>16</v>
      </c>
      <c r="H676" s="59" t="s">
        <v>1466</v>
      </c>
      <c r="I676" s="12"/>
      <c r="J676" s="12"/>
      <c r="K676" s="12"/>
      <c r="L676" s="12"/>
      <c r="M676" s="12"/>
      <c r="N676" s="12"/>
      <c r="O676" s="12"/>
      <c r="P676" s="12"/>
      <c r="Q676" s="13"/>
      <c r="R676" s="13"/>
      <c r="S676" s="13"/>
      <c r="T676" s="13"/>
      <c r="U676" s="13"/>
      <c r="V676" s="13"/>
    </row>
    <row r="677">
      <c r="A677" s="68" t="s">
        <v>1467</v>
      </c>
      <c r="B677" s="41" t="s">
        <v>1468</v>
      </c>
      <c r="C677" s="40" t="s">
        <v>1469</v>
      </c>
      <c r="D677" s="41" t="s">
        <v>14</v>
      </c>
      <c r="E677" s="55">
        <v>420.0</v>
      </c>
      <c r="F677" s="71" t="s">
        <v>1470</v>
      </c>
      <c r="G677" s="41" t="s">
        <v>16</v>
      </c>
      <c r="H677" s="59" t="s">
        <v>1471</v>
      </c>
      <c r="I677" s="12"/>
      <c r="J677" s="12"/>
      <c r="K677" s="12"/>
      <c r="L677" s="12"/>
      <c r="M677" s="12"/>
      <c r="N677" s="12"/>
      <c r="O677" s="12"/>
      <c r="P677" s="12"/>
      <c r="Q677" s="13"/>
      <c r="R677" s="13"/>
      <c r="S677" s="13"/>
      <c r="T677" s="13"/>
      <c r="U677" s="13"/>
      <c r="V677" s="13"/>
    </row>
    <row r="678">
      <c r="A678" s="68" t="s">
        <v>1344</v>
      </c>
      <c r="B678" s="41" t="s">
        <v>1345</v>
      </c>
      <c r="C678" s="40" t="s">
        <v>1346</v>
      </c>
      <c r="D678" s="41" t="s">
        <v>14</v>
      </c>
      <c r="E678" s="55">
        <v>15.0</v>
      </c>
      <c r="F678" s="71" t="s">
        <v>1472</v>
      </c>
      <c r="G678" s="41" t="s">
        <v>16</v>
      </c>
      <c r="H678" s="59" t="s">
        <v>1473</v>
      </c>
      <c r="I678" s="12"/>
      <c r="J678" s="12"/>
      <c r="K678" s="12"/>
      <c r="L678" s="12"/>
      <c r="M678" s="12"/>
      <c r="N678" s="12"/>
      <c r="O678" s="12"/>
      <c r="P678" s="12"/>
      <c r="Q678" s="13"/>
      <c r="R678" s="13"/>
      <c r="S678" s="13"/>
      <c r="T678" s="13"/>
      <c r="U678" s="13"/>
      <c r="V678" s="13"/>
    </row>
    <row r="679">
      <c r="A679" s="18"/>
      <c r="B679" s="18"/>
      <c r="C679" s="38"/>
      <c r="D679" s="78"/>
      <c r="E679" s="44"/>
      <c r="F679" s="18"/>
      <c r="G679" s="18"/>
      <c r="H679" s="79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>
      <c r="A680" s="18"/>
      <c r="B680" s="18"/>
      <c r="C680" s="38"/>
      <c r="D680" s="78"/>
      <c r="E680" s="44"/>
      <c r="F680" s="18"/>
      <c r="G680" s="18"/>
      <c r="H680" s="79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>
      <c r="A681" s="18"/>
      <c r="B681" s="18"/>
      <c r="C681" s="38"/>
      <c r="D681" s="78"/>
      <c r="E681" s="44"/>
      <c r="F681" s="18"/>
      <c r="G681" s="18"/>
      <c r="H681" s="79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>
      <c r="A682" s="18"/>
      <c r="B682" s="18"/>
      <c r="C682" s="38"/>
      <c r="D682" s="78"/>
      <c r="E682" s="44"/>
      <c r="F682" s="18"/>
      <c r="G682" s="18"/>
      <c r="H682" s="79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>
      <c r="A683" s="18"/>
      <c r="B683" s="18"/>
      <c r="C683" s="38"/>
      <c r="D683" s="78"/>
      <c r="E683" s="44"/>
      <c r="F683" s="18"/>
      <c r="G683" s="18"/>
      <c r="H683" s="79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>
      <c r="A684" s="18"/>
      <c r="B684" s="18"/>
      <c r="C684" s="38"/>
      <c r="D684" s="78"/>
      <c r="E684" s="44"/>
      <c r="F684" s="18"/>
      <c r="G684" s="18"/>
      <c r="H684" s="79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>
      <c r="A685" s="18"/>
      <c r="B685" s="18"/>
      <c r="C685" s="38"/>
      <c r="D685" s="78"/>
      <c r="E685" s="44"/>
      <c r="F685" s="18"/>
      <c r="G685" s="18"/>
      <c r="H685" s="79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>
      <c r="A686" s="18"/>
      <c r="B686" s="18"/>
      <c r="C686" s="38"/>
      <c r="D686" s="78"/>
      <c r="E686" s="44"/>
      <c r="F686" s="18"/>
      <c r="G686" s="18"/>
      <c r="H686" s="79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>
      <c r="A687" s="18"/>
      <c r="B687" s="18"/>
      <c r="C687" s="38"/>
      <c r="D687" s="78"/>
      <c r="E687" s="44"/>
      <c r="F687" s="18"/>
      <c r="G687" s="18"/>
      <c r="H687" s="79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>
      <c r="A688" s="18"/>
      <c r="B688" s="18"/>
      <c r="C688" s="38"/>
      <c r="D688" s="78"/>
      <c r="E688" s="44"/>
      <c r="F688" s="18"/>
      <c r="G688" s="18"/>
      <c r="H688" s="79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>
      <c r="A689" s="18"/>
      <c r="B689" s="18"/>
      <c r="C689" s="38"/>
      <c r="D689" s="78"/>
      <c r="E689" s="44"/>
      <c r="F689" s="18"/>
      <c r="G689" s="18"/>
      <c r="H689" s="79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>
      <c r="A690" s="18"/>
      <c r="B690" s="18"/>
      <c r="C690" s="38"/>
      <c r="D690" s="78"/>
      <c r="E690" s="44"/>
      <c r="F690" s="18"/>
      <c r="G690" s="18"/>
      <c r="H690" s="79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>
      <c r="A691" s="18"/>
      <c r="B691" s="18"/>
      <c r="C691" s="38"/>
      <c r="D691" s="78"/>
      <c r="E691" s="44"/>
      <c r="F691" s="18"/>
      <c r="G691" s="18"/>
      <c r="H691" s="79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>
      <c r="A692" s="18"/>
      <c r="B692" s="18"/>
      <c r="C692" s="38"/>
      <c r="D692" s="78"/>
      <c r="E692" s="44"/>
      <c r="F692" s="18"/>
      <c r="G692" s="18"/>
      <c r="H692" s="79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>
      <c r="A693" s="18"/>
      <c r="B693" s="18"/>
      <c r="C693" s="38"/>
      <c r="D693" s="78"/>
      <c r="E693" s="44"/>
      <c r="F693" s="18"/>
      <c r="G693" s="18"/>
      <c r="H693" s="79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>
      <c r="A694" s="18"/>
      <c r="B694" s="18"/>
      <c r="C694" s="38"/>
      <c r="D694" s="78"/>
      <c r="E694" s="44"/>
      <c r="F694" s="18"/>
      <c r="G694" s="18"/>
      <c r="H694" s="79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>
      <c r="A695" s="18"/>
      <c r="B695" s="18"/>
      <c r="C695" s="38"/>
      <c r="D695" s="78"/>
      <c r="E695" s="44"/>
      <c r="F695" s="18"/>
      <c r="G695" s="18"/>
      <c r="H695" s="79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>
      <c r="A696" s="18"/>
      <c r="B696" s="18"/>
      <c r="C696" s="38"/>
      <c r="D696" s="78"/>
      <c r="E696" s="44"/>
      <c r="F696" s="18"/>
      <c r="G696" s="18"/>
      <c r="H696" s="79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>
      <c r="A697" s="18"/>
      <c r="B697" s="18"/>
      <c r="C697" s="38"/>
      <c r="D697" s="78"/>
      <c r="E697" s="44"/>
      <c r="F697" s="18"/>
      <c r="G697" s="18"/>
      <c r="H697" s="79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>
      <c r="A698" s="18"/>
      <c r="B698" s="18"/>
      <c r="C698" s="38"/>
      <c r="D698" s="78"/>
      <c r="E698" s="44"/>
      <c r="F698" s="18"/>
      <c r="G698" s="18"/>
      <c r="H698" s="79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>
      <c r="A699" s="18"/>
      <c r="B699" s="18"/>
      <c r="C699" s="38"/>
      <c r="D699" s="78"/>
      <c r="E699" s="44"/>
      <c r="F699" s="18"/>
      <c r="G699" s="18"/>
      <c r="H699" s="79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>
      <c r="A700" s="18"/>
      <c r="B700" s="18"/>
      <c r="C700" s="38"/>
      <c r="D700" s="78"/>
      <c r="E700" s="44"/>
      <c r="F700" s="18"/>
      <c r="G700" s="18"/>
      <c r="H700" s="79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>
      <c r="A701" s="18"/>
      <c r="B701" s="18"/>
      <c r="C701" s="38"/>
      <c r="D701" s="78"/>
      <c r="E701" s="44"/>
      <c r="F701" s="18"/>
      <c r="G701" s="18"/>
      <c r="H701" s="79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>
      <c r="A702" s="18"/>
      <c r="B702" s="18"/>
      <c r="C702" s="38"/>
      <c r="D702" s="78"/>
      <c r="E702" s="44"/>
      <c r="F702" s="18"/>
      <c r="G702" s="18"/>
      <c r="H702" s="79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>
      <c r="A703" s="18"/>
      <c r="B703" s="18"/>
      <c r="C703" s="38"/>
      <c r="D703" s="78"/>
      <c r="E703" s="44"/>
      <c r="F703" s="18"/>
      <c r="G703" s="18"/>
      <c r="H703" s="79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>
      <c r="A704" s="18"/>
      <c r="B704" s="18"/>
      <c r="C704" s="38"/>
      <c r="D704" s="78"/>
      <c r="E704" s="44"/>
      <c r="F704" s="18"/>
      <c r="G704" s="18"/>
      <c r="H704" s="79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>
      <c r="A705" s="18"/>
      <c r="B705" s="18"/>
      <c r="C705" s="38"/>
      <c r="D705" s="78"/>
      <c r="E705" s="44"/>
      <c r="F705" s="18"/>
      <c r="G705" s="18"/>
      <c r="H705" s="79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>
      <c r="A706" s="18"/>
      <c r="B706" s="18"/>
      <c r="C706" s="38"/>
      <c r="D706" s="78"/>
      <c r="E706" s="44"/>
      <c r="F706" s="18"/>
      <c r="G706" s="18"/>
      <c r="H706" s="79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>
      <c r="A707" s="18"/>
      <c r="B707" s="18"/>
      <c r="C707" s="38"/>
      <c r="D707" s="78"/>
      <c r="E707" s="44"/>
      <c r="F707" s="18"/>
      <c r="G707" s="18"/>
      <c r="H707" s="79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>
      <c r="A708" s="18"/>
      <c r="B708" s="18"/>
      <c r="C708" s="38"/>
      <c r="D708" s="78"/>
      <c r="E708" s="44"/>
      <c r="F708" s="18"/>
      <c r="G708" s="18"/>
      <c r="H708" s="79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>
      <c r="A709" s="18"/>
      <c r="B709" s="18"/>
      <c r="C709" s="38"/>
      <c r="D709" s="78"/>
      <c r="E709" s="44"/>
      <c r="F709" s="18"/>
      <c r="G709" s="18"/>
      <c r="H709" s="79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>
      <c r="A710" s="18"/>
      <c r="B710" s="18"/>
      <c r="C710" s="38"/>
      <c r="D710" s="78"/>
      <c r="E710" s="44"/>
      <c r="F710" s="18"/>
      <c r="G710" s="18"/>
      <c r="H710" s="79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>
      <c r="A711" s="18"/>
      <c r="B711" s="18"/>
      <c r="C711" s="38"/>
      <c r="D711" s="78"/>
      <c r="E711" s="44"/>
      <c r="F711" s="18"/>
      <c r="G711" s="18"/>
      <c r="H711" s="79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>
      <c r="A712" s="18"/>
      <c r="B712" s="18"/>
      <c r="C712" s="38"/>
      <c r="D712" s="78"/>
      <c r="E712" s="44"/>
      <c r="F712" s="18"/>
      <c r="G712" s="18"/>
      <c r="H712" s="79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>
      <c r="A713" s="18"/>
      <c r="B713" s="18"/>
      <c r="C713" s="38"/>
      <c r="D713" s="78"/>
      <c r="E713" s="44"/>
      <c r="F713" s="18"/>
      <c r="G713" s="18"/>
      <c r="H713" s="79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>
      <c r="A714" s="18"/>
      <c r="B714" s="18"/>
      <c r="C714" s="38"/>
      <c r="D714" s="78"/>
      <c r="E714" s="44"/>
      <c r="F714" s="18"/>
      <c r="G714" s="18"/>
      <c r="H714" s="79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>
      <c r="A715" s="18"/>
      <c r="B715" s="18"/>
      <c r="C715" s="38"/>
      <c r="D715" s="78"/>
      <c r="E715" s="44"/>
      <c r="F715" s="18"/>
      <c r="G715" s="18"/>
      <c r="H715" s="79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>
      <c r="A716" s="18"/>
      <c r="B716" s="18"/>
      <c r="C716" s="38"/>
      <c r="D716" s="78"/>
      <c r="E716" s="44"/>
      <c r="F716" s="18"/>
      <c r="G716" s="18"/>
      <c r="H716" s="79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>
      <c r="A717" s="18"/>
      <c r="B717" s="18"/>
      <c r="C717" s="38"/>
      <c r="D717" s="78"/>
      <c r="E717" s="44"/>
      <c r="F717" s="18"/>
      <c r="G717" s="18"/>
      <c r="H717" s="79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>
      <c r="A718" s="18"/>
      <c r="B718" s="18"/>
      <c r="C718" s="38"/>
      <c r="D718" s="78"/>
      <c r="E718" s="44"/>
      <c r="F718" s="18"/>
      <c r="G718" s="18"/>
      <c r="H718" s="79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>
      <c r="A719" s="18"/>
      <c r="B719" s="18"/>
      <c r="C719" s="38"/>
      <c r="D719" s="78"/>
      <c r="E719" s="44"/>
      <c r="F719" s="18"/>
      <c r="G719" s="18"/>
      <c r="H719" s="79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>
      <c r="A720" s="18"/>
      <c r="B720" s="18"/>
      <c r="C720" s="38"/>
      <c r="D720" s="78"/>
      <c r="E720" s="44"/>
      <c r="F720" s="18"/>
      <c r="G720" s="18"/>
      <c r="H720" s="79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>
      <c r="A721" s="18"/>
      <c r="B721" s="18"/>
      <c r="C721" s="38"/>
      <c r="D721" s="78"/>
      <c r="E721" s="44"/>
      <c r="F721" s="18"/>
      <c r="G721" s="18"/>
      <c r="H721" s="79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>
      <c r="A722" s="18"/>
      <c r="B722" s="18"/>
      <c r="C722" s="38"/>
      <c r="D722" s="78"/>
      <c r="E722" s="44"/>
      <c r="F722" s="18"/>
      <c r="G722" s="18"/>
      <c r="H722" s="79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>
      <c r="A723" s="18"/>
      <c r="B723" s="18"/>
      <c r="C723" s="38"/>
      <c r="D723" s="78"/>
      <c r="E723" s="44"/>
      <c r="F723" s="18"/>
      <c r="G723" s="18"/>
      <c r="H723" s="79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>
      <c r="A724" s="18"/>
      <c r="B724" s="18"/>
      <c r="C724" s="38"/>
      <c r="D724" s="78"/>
      <c r="E724" s="44"/>
      <c r="F724" s="18"/>
      <c r="G724" s="18"/>
      <c r="H724" s="79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>
      <c r="A725" s="18"/>
      <c r="B725" s="18"/>
      <c r="C725" s="38"/>
      <c r="D725" s="78"/>
      <c r="E725" s="44"/>
      <c r="F725" s="18"/>
      <c r="G725" s="18"/>
      <c r="H725" s="79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>
      <c r="A726" s="18"/>
      <c r="B726" s="18"/>
      <c r="C726" s="38"/>
      <c r="D726" s="78"/>
      <c r="E726" s="44"/>
      <c r="F726" s="18"/>
      <c r="G726" s="18"/>
      <c r="H726" s="79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>
      <c r="A727" s="18"/>
      <c r="B727" s="18"/>
      <c r="C727" s="38"/>
      <c r="D727" s="78"/>
      <c r="E727" s="44"/>
      <c r="F727" s="18"/>
      <c r="G727" s="18"/>
      <c r="H727" s="79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>
      <c r="A728" s="18"/>
      <c r="B728" s="18"/>
      <c r="C728" s="38"/>
      <c r="D728" s="78"/>
      <c r="E728" s="44"/>
      <c r="F728" s="18"/>
      <c r="G728" s="18"/>
      <c r="H728" s="79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>
      <c r="A729" s="18"/>
      <c r="B729" s="18"/>
      <c r="C729" s="38"/>
      <c r="D729" s="78"/>
      <c r="E729" s="44"/>
      <c r="F729" s="18"/>
      <c r="G729" s="18"/>
      <c r="H729" s="79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>
      <c r="A730" s="18"/>
      <c r="B730" s="18"/>
      <c r="C730" s="38"/>
      <c r="D730" s="78"/>
      <c r="E730" s="44"/>
      <c r="F730" s="18"/>
      <c r="G730" s="18"/>
      <c r="H730" s="79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>
      <c r="A731" s="18"/>
      <c r="B731" s="18"/>
      <c r="C731" s="38"/>
      <c r="D731" s="78"/>
      <c r="E731" s="44"/>
      <c r="F731" s="18"/>
      <c r="G731" s="18"/>
      <c r="H731" s="79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>
      <c r="A732" s="18"/>
      <c r="B732" s="18"/>
      <c r="C732" s="38"/>
      <c r="D732" s="78"/>
      <c r="E732" s="44"/>
      <c r="F732" s="18"/>
      <c r="G732" s="18"/>
      <c r="H732" s="79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>
      <c r="A733" s="18"/>
      <c r="B733" s="18"/>
      <c r="C733" s="38"/>
      <c r="D733" s="78"/>
      <c r="E733" s="44"/>
      <c r="F733" s="18"/>
      <c r="G733" s="18"/>
      <c r="H733" s="79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>
      <c r="A734" s="18"/>
      <c r="B734" s="18"/>
      <c r="C734" s="38"/>
      <c r="D734" s="78"/>
      <c r="E734" s="44"/>
      <c r="F734" s="18"/>
      <c r="G734" s="18"/>
      <c r="H734" s="79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>
      <c r="A735" s="18"/>
      <c r="B735" s="18"/>
      <c r="C735" s="38"/>
      <c r="D735" s="78"/>
      <c r="E735" s="44"/>
      <c r="F735" s="18"/>
      <c r="G735" s="18"/>
      <c r="H735" s="79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>
      <c r="A736" s="18"/>
      <c r="B736" s="18"/>
      <c r="C736" s="38"/>
      <c r="D736" s="78"/>
      <c r="E736" s="44"/>
      <c r="F736" s="18"/>
      <c r="G736" s="18"/>
      <c r="H736" s="79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>
      <c r="A737" s="18"/>
      <c r="B737" s="18"/>
      <c r="C737" s="38"/>
      <c r="D737" s="78"/>
      <c r="E737" s="44"/>
      <c r="F737" s="18"/>
      <c r="G737" s="18"/>
      <c r="H737" s="79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>
      <c r="A738" s="18"/>
      <c r="B738" s="18"/>
      <c r="C738" s="38"/>
      <c r="D738" s="78"/>
      <c r="E738" s="44"/>
      <c r="F738" s="18"/>
      <c r="G738" s="18"/>
      <c r="H738" s="79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>
      <c r="A739" s="18"/>
      <c r="B739" s="18"/>
      <c r="C739" s="38"/>
      <c r="D739" s="78"/>
      <c r="E739" s="44"/>
      <c r="F739" s="18"/>
      <c r="G739" s="18"/>
      <c r="H739" s="79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>
      <c r="A740" s="18"/>
      <c r="B740" s="18"/>
      <c r="C740" s="38"/>
      <c r="D740" s="78"/>
      <c r="E740" s="44"/>
      <c r="F740" s="18"/>
      <c r="G740" s="18"/>
      <c r="H740" s="79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>
      <c r="A741" s="18"/>
      <c r="B741" s="18"/>
      <c r="C741" s="38"/>
      <c r="D741" s="78"/>
      <c r="E741" s="44"/>
      <c r="F741" s="18"/>
      <c r="G741" s="18"/>
      <c r="H741" s="79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>
      <c r="A742" s="18"/>
      <c r="B742" s="18"/>
      <c r="C742" s="38"/>
      <c r="D742" s="78"/>
      <c r="E742" s="44"/>
      <c r="F742" s="18"/>
      <c r="G742" s="18"/>
      <c r="H742" s="79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>
      <c r="A743" s="18"/>
      <c r="B743" s="18"/>
      <c r="C743" s="38"/>
      <c r="D743" s="78"/>
      <c r="E743" s="44"/>
      <c r="F743" s="18"/>
      <c r="G743" s="18"/>
      <c r="H743" s="79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>
      <c r="A744" s="18"/>
      <c r="B744" s="18"/>
      <c r="C744" s="38"/>
      <c r="D744" s="78"/>
      <c r="E744" s="44"/>
      <c r="F744" s="18"/>
      <c r="G744" s="18"/>
      <c r="H744" s="79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>
      <c r="A745" s="18"/>
      <c r="B745" s="18"/>
      <c r="C745" s="38"/>
      <c r="D745" s="78"/>
      <c r="E745" s="44"/>
      <c r="F745" s="18"/>
      <c r="G745" s="18"/>
      <c r="H745" s="79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>
      <c r="A746" s="18"/>
      <c r="B746" s="18"/>
      <c r="C746" s="38"/>
      <c r="D746" s="78"/>
      <c r="E746" s="44"/>
      <c r="F746" s="18"/>
      <c r="G746" s="18"/>
      <c r="H746" s="79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>
      <c r="A747" s="18"/>
      <c r="B747" s="18"/>
      <c r="C747" s="38"/>
      <c r="D747" s="78"/>
      <c r="E747" s="44"/>
      <c r="F747" s="18"/>
      <c r="G747" s="18"/>
      <c r="H747" s="79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>
      <c r="A748" s="18"/>
      <c r="B748" s="18"/>
      <c r="C748" s="38"/>
      <c r="D748" s="78"/>
      <c r="E748" s="44"/>
      <c r="F748" s="18"/>
      <c r="G748" s="18"/>
      <c r="H748" s="79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>
      <c r="A749" s="18"/>
      <c r="B749" s="18"/>
      <c r="C749" s="38"/>
      <c r="D749" s="78"/>
      <c r="E749" s="44"/>
      <c r="F749" s="18"/>
      <c r="G749" s="18"/>
      <c r="H749" s="79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>
      <c r="A750" s="18"/>
      <c r="B750" s="18"/>
      <c r="C750" s="38"/>
      <c r="D750" s="78"/>
      <c r="E750" s="44"/>
      <c r="F750" s="18"/>
      <c r="G750" s="18"/>
      <c r="H750" s="79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>
      <c r="A751" s="18"/>
      <c r="B751" s="18"/>
      <c r="C751" s="38"/>
      <c r="D751" s="78"/>
      <c r="E751" s="44"/>
      <c r="F751" s="18"/>
      <c r="G751" s="18"/>
      <c r="H751" s="79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>
      <c r="A752" s="18"/>
      <c r="B752" s="18"/>
      <c r="C752" s="38"/>
      <c r="D752" s="78"/>
      <c r="E752" s="44"/>
      <c r="F752" s="18"/>
      <c r="G752" s="18"/>
      <c r="H752" s="79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>
      <c r="A753" s="18"/>
      <c r="B753" s="18"/>
      <c r="C753" s="38"/>
      <c r="D753" s="78"/>
      <c r="E753" s="44"/>
      <c r="F753" s="18"/>
      <c r="G753" s="18"/>
      <c r="H753" s="79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>
      <c r="A754" s="18"/>
      <c r="B754" s="18"/>
      <c r="C754" s="38"/>
      <c r="D754" s="78"/>
      <c r="E754" s="44"/>
      <c r="F754" s="18"/>
      <c r="G754" s="18"/>
      <c r="H754" s="79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>
      <c r="A755" s="18"/>
      <c r="B755" s="18"/>
      <c r="C755" s="38"/>
      <c r="D755" s="78"/>
      <c r="E755" s="44"/>
      <c r="F755" s="18"/>
      <c r="G755" s="18"/>
      <c r="H755" s="79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>
      <c r="A756" s="18"/>
      <c r="B756" s="18"/>
      <c r="C756" s="38"/>
      <c r="D756" s="78"/>
      <c r="E756" s="44"/>
      <c r="F756" s="18"/>
      <c r="G756" s="18"/>
      <c r="H756" s="79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>
      <c r="A757" s="18"/>
      <c r="B757" s="18"/>
      <c r="C757" s="38"/>
      <c r="D757" s="78"/>
      <c r="E757" s="44"/>
      <c r="F757" s="18"/>
      <c r="G757" s="18"/>
      <c r="H757" s="79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>
      <c r="A758" s="18"/>
      <c r="B758" s="18"/>
      <c r="C758" s="38"/>
      <c r="D758" s="78"/>
      <c r="E758" s="44"/>
      <c r="F758" s="18"/>
      <c r="G758" s="18"/>
      <c r="H758" s="79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>
      <c r="A759" s="18"/>
      <c r="B759" s="18"/>
      <c r="C759" s="38"/>
      <c r="D759" s="78"/>
      <c r="E759" s="44"/>
      <c r="F759" s="18"/>
      <c r="G759" s="18"/>
      <c r="H759" s="79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>
      <c r="A760" s="18"/>
      <c r="B760" s="18"/>
      <c r="C760" s="38"/>
      <c r="D760" s="78"/>
      <c r="E760" s="44"/>
      <c r="F760" s="18"/>
      <c r="G760" s="18"/>
      <c r="H760" s="79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>
      <c r="A761" s="18"/>
      <c r="B761" s="18"/>
      <c r="C761" s="38"/>
      <c r="D761" s="78"/>
      <c r="E761" s="44"/>
      <c r="F761" s="18"/>
      <c r="G761" s="18"/>
      <c r="H761" s="79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>
      <c r="A762" s="18"/>
      <c r="B762" s="18"/>
      <c r="C762" s="38"/>
      <c r="D762" s="78"/>
      <c r="E762" s="44"/>
      <c r="F762" s="18"/>
      <c r="G762" s="18"/>
      <c r="H762" s="79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>
      <c r="A763" s="18"/>
      <c r="B763" s="18"/>
      <c r="C763" s="38"/>
      <c r="D763" s="78"/>
      <c r="E763" s="44"/>
      <c r="F763" s="18"/>
      <c r="G763" s="18"/>
      <c r="H763" s="79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>
      <c r="A764" s="18"/>
      <c r="B764" s="18"/>
      <c r="C764" s="38"/>
      <c r="D764" s="78"/>
      <c r="E764" s="44"/>
      <c r="F764" s="18"/>
      <c r="G764" s="18"/>
      <c r="H764" s="79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>
      <c r="A765" s="18"/>
      <c r="B765" s="18"/>
      <c r="C765" s="38"/>
      <c r="D765" s="78"/>
      <c r="E765" s="44"/>
      <c r="F765" s="18"/>
      <c r="G765" s="18"/>
      <c r="H765" s="79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>
      <c r="A766" s="18"/>
      <c r="B766" s="18"/>
      <c r="C766" s="38"/>
      <c r="D766" s="78"/>
      <c r="E766" s="44"/>
      <c r="F766" s="18"/>
      <c r="G766" s="18"/>
      <c r="H766" s="79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>
      <c r="A767" s="18"/>
      <c r="B767" s="18"/>
      <c r="C767" s="38"/>
      <c r="D767" s="78"/>
      <c r="E767" s="44"/>
      <c r="F767" s="18"/>
      <c r="G767" s="18"/>
      <c r="H767" s="79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>
      <c r="A768" s="18"/>
      <c r="B768" s="18"/>
      <c r="C768" s="38"/>
      <c r="D768" s="78"/>
      <c r="E768" s="44"/>
      <c r="F768" s="18"/>
      <c r="G768" s="18"/>
      <c r="H768" s="79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>
      <c r="A769" s="18"/>
      <c r="B769" s="18"/>
      <c r="C769" s="38"/>
      <c r="D769" s="78"/>
      <c r="E769" s="44"/>
      <c r="F769" s="18"/>
      <c r="G769" s="18"/>
      <c r="H769" s="79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>
      <c r="A770" s="18"/>
      <c r="B770" s="18"/>
      <c r="C770" s="38"/>
      <c r="D770" s="78"/>
      <c r="E770" s="44"/>
      <c r="F770" s="18"/>
      <c r="G770" s="18"/>
      <c r="H770" s="79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>
      <c r="A771" s="18"/>
      <c r="B771" s="18"/>
      <c r="C771" s="38"/>
      <c r="D771" s="78"/>
      <c r="E771" s="44"/>
      <c r="F771" s="18"/>
      <c r="G771" s="18"/>
      <c r="H771" s="79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>
      <c r="A772" s="18"/>
      <c r="B772" s="18"/>
      <c r="C772" s="38"/>
      <c r="D772" s="78"/>
      <c r="E772" s="44"/>
      <c r="F772" s="18"/>
      <c r="G772" s="18"/>
      <c r="H772" s="79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>
      <c r="A773" s="18"/>
      <c r="B773" s="18"/>
      <c r="C773" s="38"/>
      <c r="D773" s="78"/>
      <c r="E773" s="44"/>
      <c r="F773" s="18"/>
      <c r="G773" s="18"/>
      <c r="H773" s="79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>
      <c r="A774" s="18"/>
      <c r="B774" s="18"/>
      <c r="C774" s="38"/>
      <c r="D774" s="78"/>
      <c r="E774" s="44"/>
      <c r="F774" s="18"/>
      <c r="G774" s="18"/>
      <c r="H774" s="79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>
      <c r="A775" s="18"/>
      <c r="B775" s="18"/>
      <c r="C775" s="38"/>
      <c r="D775" s="78"/>
      <c r="E775" s="44"/>
      <c r="F775" s="18"/>
      <c r="G775" s="18"/>
      <c r="H775" s="79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>
      <c r="A776" s="18"/>
      <c r="B776" s="18"/>
      <c r="C776" s="38"/>
      <c r="D776" s="78"/>
      <c r="E776" s="44"/>
      <c r="F776" s="18"/>
      <c r="G776" s="18"/>
      <c r="H776" s="79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>
      <c r="A777" s="18"/>
      <c r="B777" s="18"/>
      <c r="C777" s="38"/>
      <c r="D777" s="78"/>
      <c r="E777" s="44"/>
      <c r="F777" s="18"/>
      <c r="G777" s="18"/>
      <c r="H777" s="79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>
      <c r="A778" s="18"/>
      <c r="B778" s="18"/>
      <c r="C778" s="38"/>
      <c r="D778" s="78"/>
      <c r="E778" s="44"/>
      <c r="F778" s="18"/>
      <c r="G778" s="18"/>
      <c r="H778" s="79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>
      <c r="A779" s="18"/>
      <c r="B779" s="18"/>
      <c r="C779" s="38"/>
      <c r="D779" s="78"/>
      <c r="E779" s="44"/>
      <c r="F779" s="18"/>
      <c r="G779" s="18"/>
      <c r="H779" s="79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>
      <c r="A780" s="18"/>
      <c r="B780" s="18"/>
      <c r="C780" s="38"/>
      <c r="D780" s="78"/>
      <c r="E780" s="44"/>
      <c r="F780" s="18"/>
      <c r="G780" s="18"/>
      <c r="H780" s="79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>
      <c r="A781" s="18"/>
      <c r="B781" s="18"/>
      <c r="C781" s="38"/>
      <c r="D781" s="78"/>
      <c r="E781" s="44"/>
      <c r="F781" s="18"/>
      <c r="G781" s="18"/>
      <c r="H781" s="79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>
      <c r="A782" s="18"/>
      <c r="B782" s="18"/>
      <c r="C782" s="38"/>
      <c r="D782" s="78"/>
      <c r="E782" s="44"/>
      <c r="F782" s="18"/>
      <c r="G782" s="18"/>
      <c r="H782" s="79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>
      <c r="A783" s="18"/>
      <c r="B783" s="18"/>
      <c r="C783" s="38"/>
      <c r="D783" s="78"/>
      <c r="E783" s="44"/>
      <c r="F783" s="18"/>
      <c r="G783" s="18"/>
      <c r="H783" s="79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>
      <c r="A784" s="18"/>
      <c r="B784" s="18"/>
      <c r="C784" s="38"/>
      <c r="D784" s="78"/>
      <c r="E784" s="44"/>
      <c r="F784" s="18"/>
      <c r="G784" s="18"/>
      <c r="H784" s="79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>
      <c r="A785" s="18"/>
      <c r="B785" s="18"/>
      <c r="C785" s="38"/>
      <c r="D785" s="78"/>
      <c r="E785" s="44"/>
      <c r="F785" s="18"/>
      <c r="G785" s="18"/>
      <c r="H785" s="79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>
      <c r="A786" s="18"/>
      <c r="B786" s="18"/>
      <c r="C786" s="38"/>
      <c r="D786" s="78"/>
      <c r="E786" s="44"/>
      <c r="F786" s="18"/>
      <c r="G786" s="18"/>
      <c r="H786" s="79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>
      <c r="A787" s="18"/>
      <c r="B787" s="18"/>
      <c r="C787" s="38"/>
      <c r="D787" s="78"/>
      <c r="E787" s="44"/>
      <c r="F787" s="18"/>
      <c r="G787" s="18"/>
      <c r="H787" s="79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>
      <c r="A788" s="18"/>
      <c r="B788" s="18"/>
      <c r="C788" s="38"/>
      <c r="D788" s="78"/>
      <c r="E788" s="44"/>
      <c r="F788" s="18"/>
      <c r="G788" s="18"/>
      <c r="H788" s="79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>
      <c r="A789" s="18"/>
      <c r="B789" s="18"/>
      <c r="C789" s="38"/>
      <c r="D789" s="78"/>
      <c r="E789" s="44"/>
      <c r="F789" s="18"/>
      <c r="G789" s="18"/>
      <c r="H789" s="79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>
      <c r="A790" s="18"/>
      <c r="B790" s="18"/>
      <c r="C790" s="38"/>
      <c r="D790" s="78"/>
      <c r="E790" s="44"/>
      <c r="F790" s="18"/>
      <c r="G790" s="18"/>
      <c r="H790" s="79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>
      <c r="A791" s="18"/>
      <c r="B791" s="18"/>
      <c r="C791" s="38"/>
      <c r="D791" s="78"/>
      <c r="E791" s="44"/>
      <c r="F791" s="18"/>
      <c r="G791" s="18"/>
      <c r="H791" s="79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>
      <c r="A792" s="18"/>
      <c r="B792" s="18"/>
      <c r="C792" s="38"/>
      <c r="D792" s="78"/>
      <c r="E792" s="44"/>
      <c r="F792" s="18"/>
      <c r="G792" s="18"/>
      <c r="H792" s="79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>
      <c r="A793" s="18"/>
      <c r="B793" s="18"/>
      <c r="C793" s="38"/>
      <c r="D793" s="78"/>
      <c r="E793" s="44"/>
      <c r="F793" s="18"/>
      <c r="G793" s="18"/>
      <c r="H793" s="79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>
      <c r="A794" s="18"/>
      <c r="B794" s="18"/>
      <c r="C794" s="38"/>
      <c r="D794" s="78"/>
      <c r="E794" s="44"/>
      <c r="F794" s="18"/>
      <c r="G794" s="18"/>
      <c r="H794" s="79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>
      <c r="A795" s="18"/>
      <c r="B795" s="18"/>
      <c r="C795" s="38"/>
      <c r="D795" s="78"/>
      <c r="E795" s="44"/>
      <c r="F795" s="18"/>
      <c r="G795" s="18"/>
      <c r="H795" s="79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>
      <c r="A796" s="18"/>
      <c r="B796" s="18"/>
      <c r="C796" s="38"/>
      <c r="D796" s="78"/>
      <c r="E796" s="44"/>
      <c r="F796" s="18"/>
      <c r="G796" s="18"/>
      <c r="H796" s="79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>
      <c r="A797" s="18"/>
      <c r="B797" s="18"/>
      <c r="C797" s="38"/>
      <c r="D797" s="78"/>
      <c r="E797" s="44"/>
      <c r="F797" s="18"/>
      <c r="G797" s="18"/>
      <c r="H797" s="79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>
      <c r="A798" s="18"/>
      <c r="B798" s="18"/>
      <c r="C798" s="38"/>
      <c r="D798" s="78"/>
      <c r="E798" s="44"/>
      <c r="F798" s="18"/>
      <c r="G798" s="18"/>
      <c r="H798" s="79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>
      <c r="A799" s="18"/>
      <c r="B799" s="18"/>
      <c r="C799" s="38"/>
      <c r="D799" s="78"/>
      <c r="E799" s="44"/>
      <c r="F799" s="18"/>
      <c r="G799" s="18"/>
      <c r="H799" s="79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>
      <c r="A800" s="18"/>
      <c r="B800" s="18"/>
      <c r="C800" s="38"/>
      <c r="D800" s="78"/>
      <c r="E800" s="44"/>
      <c r="F800" s="18"/>
      <c r="G800" s="18"/>
      <c r="H800" s="79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>
      <c r="A801" s="18"/>
      <c r="B801" s="18"/>
      <c r="C801" s="38"/>
      <c r="D801" s="78"/>
      <c r="E801" s="44"/>
      <c r="F801" s="18"/>
      <c r="G801" s="18"/>
      <c r="H801" s="79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>
      <c r="A802" s="18"/>
      <c r="B802" s="18"/>
      <c r="C802" s="38"/>
      <c r="D802" s="78"/>
      <c r="E802" s="44"/>
      <c r="F802" s="18"/>
      <c r="G802" s="18"/>
      <c r="H802" s="79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>
      <c r="A803" s="18"/>
      <c r="B803" s="18"/>
      <c r="C803" s="38"/>
      <c r="D803" s="78"/>
      <c r="E803" s="44"/>
      <c r="F803" s="18"/>
      <c r="G803" s="18"/>
      <c r="H803" s="79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>
      <c r="A804" s="18"/>
      <c r="B804" s="18"/>
      <c r="C804" s="38"/>
      <c r="D804" s="78"/>
      <c r="E804" s="44"/>
      <c r="F804" s="18"/>
      <c r="G804" s="18"/>
      <c r="H804" s="79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>
      <c r="A805" s="18"/>
      <c r="B805" s="18"/>
      <c r="C805" s="38"/>
      <c r="D805" s="78"/>
      <c r="E805" s="44"/>
      <c r="F805" s="18"/>
      <c r="G805" s="18"/>
      <c r="H805" s="79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>
      <c r="A806" s="18"/>
      <c r="B806" s="18"/>
      <c r="C806" s="38"/>
      <c r="D806" s="78"/>
      <c r="E806" s="44"/>
      <c r="F806" s="18"/>
      <c r="G806" s="18"/>
      <c r="H806" s="79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>
      <c r="A807" s="18"/>
      <c r="B807" s="18"/>
      <c r="C807" s="38"/>
      <c r="D807" s="78"/>
      <c r="E807" s="44"/>
      <c r="F807" s="18"/>
      <c r="G807" s="18"/>
      <c r="H807" s="79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>
      <c r="A808" s="18"/>
      <c r="B808" s="18"/>
      <c r="C808" s="38"/>
      <c r="D808" s="78"/>
      <c r="E808" s="44"/>
      <c r="F808" s="18"/>
      <c r="G808" s="18"/>
      <c r="H808" s="79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>
      <c r="A809" s="18"/>
      <c r="B809" s="18"/>
      <c r="C809" s="38"/>
      <c r="D809" s="78"/>
      <c r="E809" s="44"/>
      <c r="F809" s="18"/>
      <c r="G809" s="18"/>
      <c r="H809" s="79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>
      <c r="A810" s="18"/>
      <c r="B810" s="18"/>
      <c r="C810" s="38"/>
      <c r="D810" s="78"/>
      <c r="E810" s="44"/>
      <c r="F810" s="18"/>
      <c r="G810" s="18"/>
      <c r="H810" s="79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>
      <c r="A811" s="18"/>
      <c r="B811" s="18"/>
      <c r="C811" s="38"/>
      <c r="D811" s="78"/>
      <c r="E811" s="44"/>
      <c r="F811" s="18"/>
      <c r="G811" s="18"/>
      <c r="H811" s="79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>
      <c r="A812" s="18"/>
      <c r="B812" s="18"/>
      <c r="C812" s="38"/>
      <c r="D812" s="78"/>
      <c r="E812" s="44"/>
      <c r="F812" s="18"/>
      <c r="G812" s="18"/>
      <c r="H812" s="79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>
      <c r="A813" s="18"/>
      <c r="B813" s="18"/>
      <c r="C813" s="38"/>
      <c r="D813" s="78"/>
      <c r="E813" s="44"/>
      <c r="F813" s="18"/>
      <c r="G813" s="18"/>
      <c r="H813" s="79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>
      <c r="A814" s="18"/>
      <c r="B814" s="18"/>
      <c r="C814" s="38"/>
      <c r="D814" s="78"/>
      <c r="E814" s="44"/>
      <c r="F814" s="18"/>
      <c r="G814" s="18"/>
      <c r="H814" s="79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>
      <c r="A815" s="18"/>
      <c r="B815" s="18"/>
      <c r="C815" s="38"/>
      <c r="D815" s="78"/>
      <c r="E815" s="44"/>
      <c r="F815" s="18"/>
      <c r="G815" s="18"/>
      <c r="H815" s="79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>
      <c r="A816" s="18"/>
      <c r="B816" s="18"/>
      <c r="C816" s="38"/>
      <c r="D816" s="78"/>
      <c r="E816" s="44"/>
      <c r="F816" s="18"/>
      <c r="G816" s="18"/>
      <c r="H816" s="79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>
      <c r="A817" s="18"/>
      <c r="B817" s="18"/>
      <c r="C817" s="38"/>
      <c r="D817" s="78"/>
      <c r="E817" s="44"/>
      <c r="F817" s="18"/>
      <c r="G817" s="18"/>
      <c r="H817" s="79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>
      <c r="A818" s="18"/>
      <c r="B818" s="18"/>
      <c r="C818" s="38"/>
      <c r="D818" s="78"/>
      <c r="E818" s="44"/>
      <c r="F818" s="18"/>
      <c r="G818" s="18"/>
      <c r="H818" s="79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>
      <c r="A819" s="18"/>
      <c r="B819" s="18"/>
      <c r="C819" s="38"/>
      <c r="D819" s="78"/>
      <c r="E819" s="44"/>
      <c r="F819" s="18"/>
      <c r="G819" s="18"/>
      <c r="H819" s="79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>
      <c r="A820" s="18"/>
      <c r="B820" s="18"/>
      <c r="C820" s="38"/>
      <c r="D820" s="78"/>
      <c r="E820" s="44"/>
      <c r="F820" s="18"/>
      <c r="G820" s="18"/>
      <c r="H820" s="79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>
      <c r="A821" s="18"/>
      <c r="B821" s="18"/>
      <c r="C821" s="38"/>
      <c r="D821" s="78"/>
      <c r="E821" s="44"/>
      <c r="F821" s="18"/>
      <c r="G821" s="18"/>
      <c r="H821" s="79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>
      <c r="A822" s="18"/>
      <c r="B822" s="18"/>
      <c r="C822" s="38"/>
      <c r="D822" s="78"/>
      <c r="E822" s="44"/>
      <c r="F822" s="18"/>
      <c r="G822" s="18"/>
      <c r="H822" s="79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>
      <c r="A823" s="18"/>
      <c r="B823" s="18"/>
      <c r="C823" s="38"/>
      <c r="D823" s="78"/>
      <c r="E823" s="44"/>
      <c r="F823" s="18"/>
      <c r="G823" s="18"/>
      <c r="H823" s="79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>
      <c r="A824" s="18"/>
      <c r="B824" s="18"/>
      <c r="C824" s="38"/>
      <c r="D824" s="78"/>
      <c r="E824" s="44"/>
      <c r="F824" s="18"/>
      <c r="G824" s="18"/>
      <c r="H824" s="79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>
      <c r="A825" s="18"/>
      <c r="B825" s="18"/>
      <c r="C825" s="38"/>
      <c r="D825" s="78"/>
      <c r="E825" s="44"/>
      <c r="F825" s="18"/>
      <c r="G825" s="18"/>
      <c r="H825" s="79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>
      <c r="A826" s="18"/>
      <c r="B826" s="18"/>
      <c r="C826" s="38"/>
      <c r="D826" s="78"/>
      <c r="E826" s="44"/>
      <c r="F826" s="18"/>
      <c r="G826" s="18"/>
      <c r="H826" s="79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>
      <c r="A827" s="18"/>
      <c r="B827" s="18"/>
      <c r="C827" s="38"/>
      <c r="D827" s="78"/>
      <c r="E827" s="44"/>
      <c r="F827" s="18"/>
      <c r="G827" s="18"/>
      <c r="H827" s="79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>
      <c r="A828" s="18"/>
      <c r="B828" s="18"/>
      <c r="C828" s="38"/>
      <c r="D828" s="78"/>
      <c r="E828" s="44"/>
      <c r="F828" s="18"/>
      <c r="G828" s="18"/>
      <c r="H828" s="79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>
      <c r="A829" s="18"/>
      <c r="B829" s="18"/>
      <c r="C829" s="38"/>
      <c r="D829" s="78"/>
      <c r="E829" s="44"/>
      <c r="F829" s="18"/>
      <c r="G829" s="18"/>
      <c r="H829" s="79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>
      <c r="A830" s="18"/>
      <c r="B830" s="18"/>
      <c r="C830" s="38"/>
      <c r="D830" s="78"/>
      <c r="E830" s="44"/>
      <c r="F830" s="18"/>
      <c r="G830" s="18"/>
      <c r="H830" s="79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>
      <c r="A831" s="18"/>
      <c r="B831" s="18"/>
      <c r="C831" s="38"/>
      <c r="D831" s="78"/>
      <c r="E831" s="44"/>
      <c r="F831" s="18"/>
      <c r="G831" s="18"/>
      <c r="H831" s="79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>
      <c r="A832" s="18"/>
      <c r="B832" s="18"/>
      <c r="C832" s="38"/>
      <c r="D832" s="78"/>
      <c r="E832" s="44"/>
      <c r="F832" s="18"/>
      <c r="G832" s="18"/>
      <c r="H832" s="79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>
      <c r="A833" s="18"/>
      <c r="B833" s="18"/>
      <c r="C833" s="38"/>
      <c r="D833" s="78"/>
      <c r="E833" s="44"/>
      <c r="F833" s="18"/>
      <c r="G833" s="18"/>
      <c r="H833" s="79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>
      <c r="A834" s="18"/>
      <c r="B834" s="18"/>
      <c r="C834" s="38"/>
      <c r="D834" s="78"/>
      <c r="E834" s="44"/>
      <c r="F834" s="18"/>
      <c r="G834" s="18"/>
      <c r="H834" s="79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>
      <c r="A835" s="18"/>
      <c r="B835" s="18"/>
      <c r="C835" s="38"/>
      <c r="D835" s="78"/>
      <c r="E835" s="44"/>
      <c r="F835" s="18"/>
      <c r="G835" s="18"/>
      <c r="H835" s="79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>
      <c r="A836" s="18"/>
      <c r="B836" s="18"/>
      <c r="C836" s="38"/>
      <c r="D836" s="78"/>
      <c r="E836" s="44"/>
      <c r="F836" s="18"/>
      <c r="G836" s="18"/>
      <c r="H836" s="79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>
      <c r="A837" s="18"/>
      <c r="B837" s="18"/>
      <c r="C837" s="38"/>
      <c r="D837" s="78"/>
      <c r="E837" s="44"/>
      <c r="F837" s="18"/>
      <c r="G837" s="18"/>
      <c r="H837" s="79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>
      <c r="A838" s="18"/>
      <c r="B838" s="18"/>
      <c r="C838" s="38"/>
      <c r="D838" s="78"/>
      <c r="E838" s="44"/>
      <c r="F838" s="18"/>
      <c r="G838" s="18"/>
      <c r="H838" s="79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>
      <c r="A839" s="18"/>
      <c r="B839" s="18"/>
      <c r="C839" s="38"/>
      <c r="D839" s="78"/>
      <c r="E839" s="44"/>
      <c r="F839" s="18"/>
      <c r="G839" s="18"/>
      <c r="H839" s="79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>
      <c r="A840" s="18"/>
      <c r="B840" s="18"/>
      <c r="C840" s="38"/>
      <c r="D840" s="78"/>
      <c r="E840" s="44"/>
      <c r="F840" s="18"/>
      <c r="G840" s="18"/>
      <c r="H840" s="79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>
      <c r="A841" s="18"/>
      <c r="B841" s="18"/>
      <c r="C841" s="38"/>
      <c r="D841" s="78"/>
      <c r="E841" s="44"/>
      <c r="F841" s="18"/>
      <c r="G841" s="18"/>
      <c r="H841" s="79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>
      <c r="A842" s="18"/>
      <c r="B842" s="18"/>
      <c r="C842" s="38"/>
      <c r="D842" s="78"/>
      <c r="E842" s="44"/>
      <c r="F842" s="18"/>
      <c r="G842" s="18"/>
      <c r="H842" s="79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>
      <c r="A843" s="18"/>
      <c r="B843" s="18"/>
      <c r="C843" s="38"/>
      <c r="D843" s="78"/>
      <c r="E843" s="44"/>
      <c r="F843" s="18"/>
      <c r="G843" s="18"/>
      <c r="H843" s="79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>
      <c r="A844" s="18"/>
      <c r="B844" s="18"/>
      <c r="C844" s="38"/>
      <c r="D844" s="78"/>
      <c r="E844" s="44"/>
      <c r="F844" s="18"/>
      <c r="G844" s="18"/>
      <c r="H844" s="79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>
      <c r="A845" s="18"/>
      <c r="B845" s="18"/>
      <c r="C845" s="38"/>
      <c r="D845" s="78"/>
      <c r="E845" s="44"/>
      <c r="F845" s="18"/>
      <c r="G845" s="18"/>
      <c r="H845" s="79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>
      <c r="A846" s="18"/>
      <c r="B846" s="18"/>
      <c r="C846" s="38"/>
      <c r="D846" s="78"/>
      <c r="E846" s="44"/>
      <c r="F846" s="18"/>
      <c r="G846" s="18"/>
      <c r="H846" s="79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>
      <c r="A847" s="18"/>
      <c r="B847" s="18"/>
      <c r="C847" s="38"/>
      <c r="D847" s="78"/>
      <c r="E847" s="44"/>
      <c r="F847" s="18"/>
      <c r="G847" s="18"/>
      <c r="H847" s="79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>
      <c r="A848" s="18"/>
      <c r="B848" s="18"/>
      <c r="C848" s="38"/>
      <c r="D848" s="78"/>
      <c r="E848" s="44"/>
      <c r="F848" s="18"/>
      <c r="G848" s="18"/>
      <c r="H848" s="79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>
      <c r="A849" s="18"/>
      <c r="B849" s="18"/>
      <c r="C849" s="38"/>
      <c r="D849" s="78"/>
      <c r="E849" s="44"/>
      <c r="F849" s="18"/>
      <c r="G849" s="18"/>
      <c r="H849" s="79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>
      <c r="A850" s="18"/>
      <c r="B850" s="18"/>
      <c r="C850" s="38"/>
      <c r="D850" s="78"/>
      <c r="E850" s="44"/>
      <c r="F850" s="18"/>
      <c r="G850" s="18"/>
      <c r="H850" s="79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>
      <c r="A851" s="18"/>
      <c r="B851" s="18"/>
      <c r="C851" s="38"/>
      <c r="D851" s="78"/>
      <c r="E851" s="44"/>
      <c r="F851" s="18"/>
      <c r="G851" s="18"/>
      <c r="H851" s="79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>
      <c r="A852" s="18"/>
      <c r="B852" s="18"/>
      <c r="C852" s="38"/>
      <c r="D852" s="78"/>
      <c r="E852" s="44"/>
      <c r="F852" s="18"/>
      <c r="G852" s="18"/>
      <c r="H852" s="79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>
      <c r="A853" s="18"/>
      <c r="B853" s="18"/>
      <c r="C853" s="38"/>
      <c r="D853" s="78"/>
      <c r="E853" s="44"/>
      <c r="F853" s="18"/>
      <c r="G853" s="18"/>
      <c r="H853" s="79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>
      <c r="A854" s="18"/>
      <c r="B854" s="18"/>
      <c r="C854" s="38"/>
      <c r="D854" s="78"/>
      <c r="E854" s="44"/>
      <c r="F854" s="18"/>
      <c r="G854" s="18"/>
      <c r="H854" s="79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>
      <c r="A855" s="18"/>
      <c r="B855" s="18"/>
      <c r="C855" s="38"/>
      <c r="D855" s="78"/>
      <c r="E855" s="44"/>
      <c r="F855" s="18"/>
      <c r="G855" s="18"/>
      <c r="H855" s="79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>
      <c r="A856" s="18"/>
      <c r="B856" s="18"/>
      <c r="C856" s="38"/>
      <c r="D856" s="78"/>
      <c r="E856" s="44"/>
      <c r="F856" s="18"/>
      <c r="G856" s="18"/>
      <c r="H856" s="79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>
      <c r="A857" s="18"/>
      <c r="B857" s="18"/>
      <c r="C857" s="38"/>
      <c r="D857" s="78"/>
      <c r="E857" s="44"/>
      <c r="F857" s="18"/>
      <c r="G857" s="18"/>
      <c r="H857" s="79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>
      <c r="A858" s="18"/>
      <c r="B858" s="18"/>
      <c r="C858" s="38"/>
      <c r="D858" s="78"/>
      <c r="E858" s="44"/>
      <c r="F858" s="18"/>
      <c r="G858" s="18"/>
      <c r="H858" s="79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>
      <c r="A859" s="18"/>
      <c r="B859" s="18"/>
      <c r="C859" s="38"/>
      <c r="D859" s="78"/>
      <c r="E859" s="44"/>
      <c r="F859" s="18"/>
      <c r="G859" s="18"/>
      <c r="H859" s="79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>
      <c r="A860" s="18"/>
      <c r="B860" s="18"/>
      <c r="C860" s="38"/>
      <c r="D860" s="78"/>
      <c r="E860" s="44"/>
      <c r="F860" s="18"/>
      <c r="G860" s="18"/>
      <c r="H860" s="79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>
      <c r="A861" s="18"/>
      <c r="B861" s="18"/>
      <c r="C861" s="38"/>
      <c r="D861" s="78"/>
      <c r="E861" s="44"/>
      <c r="F861" s="18"/>
      <c r="G861" s="18"/>
      <c r="H861" s="79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>
      <c r="A862" s="18"/>
      <c r="B862" s="18"/>
      <c r="C862" s="38"/>
      <c r="D862" s="78"/>
      <c r="E862" s="44"/>
      <c r="F862" s="18"/>
      <c r="G862" s="18"/>
      <c r="H862" s="79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>
      <c r="A863" s="18"/>
      <c r="B863" s="18"/>
      <c r="C863" s="38"/>
      <c r="D863" s="78"/>
      <c r="E863" s="44"/>
      <c r="F863" s="18"/>
      <c r="G863" s="18"/>
      <c r="H863" s="79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>
      <c r="A864" s="18"/>
      <c r="B864" s="18"/>
      <c r="C864" s="38"/>
      <c r="D864" s="78"/>
      <c r="E864" s="44"/>
      <c r="F864" s="18"/>
      <c r="G864" s="18"/>
      <c r="H864" s="79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>
      <c r="A865" s="18"/>
      <c r="B865" s="18"/>
      <c r="C865" s="38"/>
      <c r="D865" s="78"/>
      <c r="E865" s="44"/>
      <c r="F865" s="18"/>
      <c r="G865" s="18"/>
      <c r="H865" s="79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>
      <c r="A866" s="18"/>
      <c r="B866" s="18"/>
      <c r="C866" s="38"/>
      <c r="D866" s="78"/>
      <c r="E866" s="44"/>
      <c r="F866" s="18"/>
      <c r="G866" s="18"/>
      <c r="H866" s="79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>
      <c r="A867" s="18"/>
      <c r="B867" s="18"/>
      <c r="C867" s="38"/>
      <c r="D867" s="78"/>
      <c r="E867" s="44"/>
      <c r="F867" s="18"/>
      <c r="G867" s="18"/>
      <c r="H867" s="79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>
      <c r="A868" s="18"/>
      <c r="B868" s="18"/>
      <c r="C868" s="38"/>
      <c r="D868" s="78"/>
      <c r="E868" s="44"/>
      <c r="F868" s="18"/>
      <c r="G868" s="18"/>
      <c r="H868" s="79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>
      <c r="A869" s="18"/>
      <c r="B869" s="18"/>
      <c r="C869" s="38"/>
      <c r="D869" s="78"/>
      <c r="E869" s="44"/>
      <c r="F869" s="18"/>
      <c r="G869" s="18"/>
      <c r="H869" s="79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>
      <c r="A870" s="18"/>
      <c r="B870" s="18"/>
      <c r="C870" s="38"/>
      <c r="D870" s="78"/>
      <c r="E870" s="44"/>
      <c r="F870" s="18"/>
      <c r="G870" s="18"/>
      <c r="H870" s="79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>
      <c r="A871" s="18"/>
      <c r="B871" s="18"/>
      <c r="C871" s="38"/>
      <c r="D871" s="78"/>
      <c r="E871" s="44"/>
      <c r="F871" s="18"/>
      <c r="G871" s="18"/>
      <c r="H871" s="79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>
      <c r="A872" s="18"/>
      <c r="B872" s="18"/>
      <c r="C872" s="38"/>
      <c r="D872" s="78"/>
      <c r="E872" s="44"/>
      <c r="F872" s="18"/>
      <c r="G872" s="18"/>
      <c r="H872" s="79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>
      <c r="A873" s="18"/>
      <c r="B873" s="18"/>
      <c r="C873" s="38"/>
      <c r="D873" s="78"/>
      <c r="E873" s="44"/>
      <c r="F873" s="18"/>
      <c r="G873" s="18"/>
      <c r="H873" s="79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>
      <c r="A874" s="18"/>
      <c r="B874" s="18"/>
      <c r="C874" s="38"/>
      <c r="D874" s="78"/>
      <c r="E874" s="44"/>
      <c r="F874" s="18"/>
      <c r="G874" s="18"/>
      <c r="H874" s="79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>
      <c r="A875" s="18"/>
      <c r="B875" s="18"/>
      <c r="C875" s="38"/>
      <c r="D875" s="78"/>
      <c r="E875" s="44"/>
      <c r="F875" s="18"/>
      <c r="G875" s="18"/>
      <c r="H875" s="79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>
      <c r="A876" s="18"/>
      <c r="B876" s="18"/>
      <c r="C876" s="38"/>
      <c r="D876" s="78"/>
      <c r="E876" s="44"/>
      <c r="F876" s="18"/>
      <c r="G876" s="18"/>
      <c r="H876" s="79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>
      <c r="A877" s="18"/>
      <c r="B877" s="18"/>
      <c r="C877" s="38"/>
      <c r="D877" s="78"/>
      <c r="E877" s="44"/>
      <c r="F877" s="18"/>
      <c r="G877" s="18"/>
      <c r="H877" s="79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>
      <c r="A878" s="18"/>
      <c r="B878" s="18"/>
      <c r="C878" s="38"/>
      <c r="D878" s="78"/>
      <c r="E878" s="44"/>
      <c r="F878" s="18"/>
      <c r="G878" s="18"/>
      <c r="H878" s="79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>
      <c r="A879" s="18"/>
      <c r="B879" s="18"/>
      <c r="C879" s="38"/>
      <c r="D879" s="78"/>
      <c r="E879" s="44"/>
      <c r="F879" s="18"/>
      <c r="G879" s="18"/>
      <c r="H879" s="79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>
      <c r="A880" s="18"/>
      <c r="B880" s="18"/>
      <c r="C880" s="38"/>
      <c r="D880" s="78"/>
      <c r="E880" s="44"/>
      <c r="F880" s="18"/>
      <c r="G880" s="18"/>
      <c r="H880" s="79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>
      <c r="A881" s="18"/>
      <c r="B881" s="18"/>
      <c r="C881" s="38"/>
      <c r="D881" s="78"/>
      <c r="E881" s="44"/>
      <c r="F881" s="18"/>
      <c r="G881" s="18"/>
      <c r="H881" s="79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>
      <c r="A882" s="18"/>
      <c r="B882" s="18"/>
      <c r="C882" s="38"/>
      <c r="D882" s="78"/>
      <c r="E882" s="44"/>
      <c r="F882" s="18"/>
      <c r="G882" s="18"/>
      <c r="H882" s="79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>
      <c r="A883" s="18"/>
      <c r="B883" s="18"/>
      <c r="C883" s="38"/>
      <c r="D883" s="78"/>
      <c r="E883" s="44"/>
      <c r="F883" s="18"/>
      <c r="G883" s="18"/>
      <c r="H883" s="79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>
      <c r="A884" s="18"/>
      <c r="B884" s="18"/>
      <c r="C884" s="38"/>
      <c r="D884" s="78"/>
      <c r="E884" s="44"/>
      <c r="F884" s="18"/>
      <c r="G884" s="18"/>
      <c r="H884" s="79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>
      <c r="A885" s="18"/>
      <c r="B885" s="18"/>
      <c r="C885" s="38"/>
      <c r="D885" s="78"/>
      <c r="E885" s="44"/>
      <c r="F885" s="18"/>
      <c r="G885" s="18"/>
      <c r="H885" s="79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>
      <c r="A886" s="18"/>
      <c r="B886" s="18"/>
      <c r="C886" s="38"/>
      <c r="D886" s="78"/>
      <c r="E886" s="44"/>
      <c r="F886" s="18"/>
      <c r="G886" s="18"/>
      <c r="H886" s="79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>
      <c r="A887" s="18"/>
      <c r="B887" s="18"/>
      <c r="C887" s="38"/>
      <c r="D887" s="78"/>
      <c r="E887" s="44"/>
      <c r="F887" s="18"/>
      <c r="G887" s="18"/>
      <c r="H887" s="79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>
      <c r="A888" s="18"/>
      <c r="B888" s="18"/>
      <c r="C888" s="38"/>
      <c r="D888" s="78"/>
      <c r="E888" s="44"/>
      <c r="F888" s="18"/>
      <c r="G888" s="18"/>
      <c r="H888" s="79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>
      <c r="A889" s="18"/>
      <c r="B889" s="18"/>
      <c r="C889" s="38"/>
      <c r="D889" s="78"/>
      <c r="E889" s="44"/>
      <c r="F889" s="18"/>
      <c r="G889" s="18"/>
      <c r="H889" s="79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>
      <c r="A890" s="18"/>
      <c r="B890" s="18"/>
      <c r="C890" s="38"/>
      <c r="D890" s="78"/>
      <c r="E890" s="44"/>
      <c r="F890" s="18"/>
      <c r="G890" s="18"/>
      <c r="H890" s="79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>
      <c r="A891" s="18"/>
      <c r="B891" s="18"/>
      <c r="C891" s="38"/>
      <c r="D891" s="78"/>
      <c r="E891" s="44"/>
      <c r="F891" s="18"/>
      <c r="G891" s="18"/>
      <c r="H891" s="79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>
      <c r="A892" s="18"/>
      <c r="B892" s="18"/>
      <c r="C892" s="38"/>
      <c r="D892" s="78"/>
      <c r="E892" s="44"/>
      <c r="F892" s="18"/>
      <c r="G892" s="18"/>
      <c r="H892" s="79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>
      <c r="A893" s="18"/>
      <c r="B893" s="18"/>
      <c r="C893" s="38"/>
      <c r="D893" s="78"/>
      <c r="E893" s="44"/>
      <c r="F893" s="18"/>
      <c r="G893" s="18"/>
      <c r="H893" s="79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>
      <c r="A894" s="18"/>
      <c r="B894" s="18"/>
      <c r="C894" s="38"/>
      <c r="D894" s="78"/>
      <c r="E894" s="44"/>
      <c r="F894" s="18"/>
      <c r="G894" s="18"/>
      <c r="H894" s="79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>
      <c r="A895" s="18"/>
      <c r="B895" s="18"/>
      <c r="C895" s="38"/>
      <c r="D895" s="78"/>
      <c r="E895" s="44"/>
      <c r="F895" s="18"/>
      <c r="G895" s="18"/>
      <c r="H895" s="79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>
      <c r="A896" s="18"/>
      <c r="B896" s="18"/>
      <c r="C896" s="38"/>
      <c r="D896" s="78"/>
      <c r="E896" s="44"/>
      <c r="F896" s="18"/>
      <c r="G896" s="18"/>
      <c r="H896" s="79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>
      <c r="A897" s="18"/>
      <c r="B897" s="18"/>
      <c r="C897" s="38"/>
      <c r="D897" s="78"/>
      <c r="E897" s="44"/>
      <c r="F897" s="18"/>
      <c r="G897" s="18"/>
      <c r="H897" s="79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>
      <c r="A898" s="18"/>
      <c r="B898" s="18"/>
      <c r="C898" s="38"/>
      <c r="D898" s="78"/>
      <c r="E898" s="44"/>
      <c r="F898" s="18"/>
      <c r="G898" s="18"/>
      <c r="H898" s="79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>
      <c r="A899" s="18"/>
      <c r="B899" s="18"/>
      <c r="C899" s="38"/>
      <c r="D899" s="78"/>
      <c r="E899" s="44"/>
      <c r="F899" s="18"/>
      <c r="G899" s="18"/>
      <c r="H899" s="79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>
      <c r="A900" s="18"/>
      <c r="B900" s="18"/>
      <c r="C900" s="38"/>
      <c r="D900" s="78"/>
      <c r="E900" s="44"/>
      <c r="F900" s="18"/>
      <c r="G900" s="18"/>
      <c r="H900" s="79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>
      <c r="A901" s="18"/>
      <c r="B901" s="18"/>
      <c r="C901" s="38"/>
      <c r="D901" s="78"/>
      <c r="E901" s="44"/>
      <c r="F901" s="18"/>
      <c r="G901" s="18"/>
      <c r="H901" s="79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>
      <c r="A902" s="18"/>
      <c r="B902" s="18"/>
      <c r="C902" s="38"/>
      <c r="D902" s="78"/>
      <c r="E902" s="44"/>
      <c r="F902" s="18"/>
      <c r="G902" s="18"/>
      <c r="H902" s="79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>
      <c r="A903" s="18"/>
      <c r="B903" s="18"/>
      <c r="C903" s="38"/>
      <c r="D903" s="78"/>
      <c r="E903" s="44"/>
      <c r="F903" s="18"/>
      <c r="G903" s="18"/>
      <c r="H903" s="79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>
      <c r="A904" s="18"/>
      <c r="B904" s="18"/>
      <c r="C904" s="38"/>
      <c r="D904" s="78"/>
      <c r="E904" s="44"/>
      <c r="F904" s="18"/>
      <c r="G904" s="18"/>
      <c r="H904" s="79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>
      <c r="A905" s="18"/>
      <c r="B905" s="18"/>
      <c r="C905" s="38"/>
      <c r="D905" s="78"/>
      <c r="E905" s="44"/>
      <c r="F905" s="18"/>
      <c r="G905" s="18"/>
      <c r="H905" s="79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>
      <c r="A906" s="18"/>
      <c r="B906" s="18"/>
      <c r="C906" s="38"/>
      <c r="D906" s="78"/>
      <c r="E906" s="44"/>
      <c r="F906" s="18"/>
      <c r="G906" s="18"/>
      <c r="H906" s="79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>
      <c r="A907" s="18"/>
      <c r="B907" s="18"/>
      <c r="C907" s="38"/>
      <c r="D907" s="78"/>
      <c r="E907" s="44"/>
      <c r="F907" s="18"/>
      <c r="G907" s="18"/>
      <c r="H907" s="79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>
      <c r="A908" s="18"/>
      <c r="B908" s="18"/>
      <c r="C908" s="38"/>
      <c r="D908" s="78"/>
      <c r="E908" s="44"/>
      <c r="F908" s="18"/>
      <c r="G908" s="18"/>
      <c r="H908" s="79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>
      <c r="A909" s="18"/>
      <c r="B909" s="18"/>
      <c r="C909" s="38"/>
      <c r="D909" s="78"/>
      <c r="E909" s="44"/>
      <c r="F909" s="18"/>
      <c r="G909" s="18"/>
      <c r="H909" s="79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>
      <c r="A910" s="18"/>
      <c r="B910" s="18"/>
      <c r="C910" s="38"/>
      <c r="D910" s="78"/>
      <c r="E910" s="44"/>
      <c r="F910" s="18"/>
      <c r="G910" s="18"/>
      <c r="H910" s="79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>
      <c r="A911" s="18"/>
      <c r="B911" s="18"/>
      <c r="C911" s="38"/>
      <c r="D911" s="78"/>
      <c r="E911" s="44"/>
      <c r="F911" s="18"/>
      <c r="G911" s="18"/>
      <c r="H911" s="79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>
      <c r="A912" s="18"/>
      <c r="B912" s="18"/>
      <c r="C912" s="38"/>
      <c r="D912" s="78"/>
      <c r="E912" s="44"/>
      <c r="F912" s="18"/>
      <c r="G912" s="18"/>
      <c r="H912" s="79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>
      <c r="A913" s="18"/>
      <c r="B913" s="18"/>
      <c r="C913" s="38"/>
      <c r="D913" s="78"/>
      <c r="E913" s="44"/>
      <c r="F913" s="18"/>
      <c r="G913" s="18"/>
      <c r="H913" s="79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>
      <c r="A914" s="18"/>
      <c r="B914" s="18"/>
      <c r="C914" s="38"/>
      <c r="D914" s="78"/>
      <c r="E914" s="44"/>
      <c r="F914" s="18"/>
      <c r="G914" s="18"/>
      <c r="H914" s="79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>
      <c r="A915" s="18"/>
      <c r="B915" s="18"/>
      <c r="C915" s="38"/>
      <c r="D915" s="78"/>
      <c r="E915" s="44"/>
      <c r="F915" s="18"/>
      <c r="G915" s="18"/>
      <c r="H915" s="79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>
      <c r="A916" s="18"/>
      <c r="B916" s="18"/>
      <c r="C916" s="38"/>
      <c r="D916" s="78"/>
      <c r="E916" s="44"/>
      <c r="F916" s="18"/>
      <c r="G916" s="18"/>
      <c r="H916" s="79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>
      <c r="A917" s="18"/>
      <c r="B917" s="18"/>
      <c r="C917" s="38"/>
      <c r="D917" s="78"/>
      <c r="E917" s="44"/>
      <c r="F917" s="18"/>
      <c r="G917" s="18"/>
      <c r="H917" s="79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>
      <c r="A918" s="18"/>
      <c r="B918" s="18"/>
      <c r="C918" s="38"/>
      <c r="D918" s="78"/>
      <c r="E918" s="44"/>
      <c r="F918" s="18"/>
      <c r="G918" s="18"/>
      <c r="H918" s="79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>
      <c r="A919" s="18"/>
      <c r="B919" s="18"/>
      <c r="C919" s="38"/>
      <c r="D919" s="78"/>
      <c r="E919" s="44"/>
      <c r="F919" s="18"/>
      <c r="G919" s="18"/>
      <c r="H919" s="79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>
      <c r="A920" s="18"/>
      <c r="B920" s="18"/>
      <c r="C920" s="38"/>
      <c r="D920" s="78"/>
      <c r="E920" s="44"/>
      <c r="F920" s="18"/>
      <c r="G920" s="18"/>
      <c r="H920" s="79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>
      <c r="A921" s="18"/>
      <c r="B921" s="18"/>
      <c r="C921" s="38"/>
      <c r="D921" s="78"/>
      <c r="E921" s="44"/>
      <c r="F921" s="18"/>
      <c r="G921" s="18"/>
      <c r="H921" s="79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>
      <c r="A922" s="18"/>
      <c r="B922" s="18"/>
      <c r="C922" s="38"/>
      <c r="D922" s="78"/>
      <c r="E922" s="44"/>
      <c r="F922" s="18"/>
      <c r="G922" s="18"/>
      <c r="H922" s="79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>
      <c r="A923" s="18"/>
      <c r="B923" s="18"/>
      <c r="C923" s="38"/>
      <c r="D923" s="78"/>
      <c r="E923" s="44"/>
      <c r="F923" s="18"/>
      <c r="G923" s="18"/>
      <c r="H923" s="79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>
      <c r="A924" s="18"/>
      <c r="B924" s="18"/>
      <c r="C924" s="38"/>
      <c r="D924" s="78"/>
      <c r="E924" s="44"/>
      <c r="F924" s="18"/>
      <c r="G924" s="18"/>
      <c r="H924" s="79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>
      <c r="A925" s="18"/>
      <c r="B925" s="18"/>
      <c r="C925" s="38"/>
      <c r="D925" s="78"/>
      <c r="E925" s="44"/>
      <c r="F925" s="18"/>
      <c r="G925" s="18"/>
      <c r="H925" s="79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>
      <c r="A926" s="18"/>
      <c r="B926" s="18"/>
      <c r="C926" s="38"/>
      <c r="D926" s="78"/>
      <c r="E926" s="44"/>
      <c r="F926" s="18"/>
      <c r="G926" s="18"/>
      <c r="H926" s="79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>
      <c r="A927" s="18"/>
      <c r="B927" s="18"/>
      <c r="C927" s="38"/>
      <c r="D927" s="78"/>
      <c r="E927" s="44"/>
      <c r="F927" s="18"/>
      <c r="G927" s="18"/>
      <c r="H927" s="79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>
      <c r="A928" s="18"/>
      <c r="B928" s="18"/>
      <c r="C928" s="38"/>
      <c r="D928" s="78"/>
      <c r="E928" s="44"/>
      <c r="F928" s="18"/>
      <c r="G928" s="18"/>
      <c r="H928" s="79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>
      <c r="A929" s="18"/>
      <c r="B929" s="18"/>
      <c r="C929" s="38"/>
      <c r="D929" s="78"/>
      <c r="E929" s="44"/>
      <c r="F929" s="18"/>
      <c r="G929" s="18"/>
      <c r="H929" s="79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>
      <c r="A930" s="18"/>
      <c r="B930" s="18"/>
      <c r="C930" s="38"/>
      <c r="D930" s="78"/>
      <c r="E930" s="44"/>
      <c r="F930" s="18"/>
      <c r="G930" s="18"/>
      <c r="H930" s="79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>
      <c r="A931" s="18"/>
      <c r="B931" s="18"/>
      <c r="C931" s="38"/>
      <c r="D931" s="78"/>
      <c r="E931" s="44"/>
      <c r="F931" s="18"/>
      <c r="G931" s="18"/>
      <c r="H931" s="79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>
      <c r="A932" s="18"/>
      <c r="B932" s="18"/>
      <c r="C932" s="38"/>
      <c r="D932" s="78"/>
      <c r="E932" s="44"/>
      <c r="F932" s="18"/>
      <c r="G932" s="18"/>
      <c r="H932" s="79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>
      <c r="A933" s="18"/>
      <c r="B933" s="18"/>
      <c r="C933" s="38"/>
      <c r="D933" s="78"/>
      <c r="E933" s="44"/>
      <c r="F933" s="18"/>
      <c r="G933" s="18"/>
      <c r="H933" s="79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>
      <c r="A934" s="18"/>
      <c r="B934" s="18"/>
      <c r="C934" s="38"/>
      <c r="D934" s="78"/>
      <c r="E934" s="44"/>
      <c r="F934" s="18"/>
      <c r="G934" s="18"/>
      <c r="H934" s="79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>
      <c r="A935" s="18"/>
      <c r="B935" s="18"/>
      <c r="C935" s="38"/>
      <c r="D935" s="78"/>
      <c r="E935" s="44"/>
      <c r="F935" s="18"/>
      <c r="G935" s="18"/>
      <c r="H935" s="79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>
      <c r="A936" s="18"/>
      <c r="B936" s="18"/>
      <c r="C936" s="38"/>
      <c r="D936" s="78"/>
      <c r="E936" s="44"/>
      <c r="F936" s="18"/>
      <c r="G936" s="18"/>
      <c r="H936" s="79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>
      <c r="A937" s="18"/>
      <c r="B937" s="18"/>
      <c r="C937" s="38"/>
      <c r="D937" s="78"/>
      <c r="E937" s="44"/>
      <c r="F937" s="18"/>
      <c r="G937" s="18"/>
      <c r="H937" s="79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>
      <c r="A938" s="18"/>
      <c r="B938" s="18"/>
      <c r="C938" s="38"/>
      <c r="D938" s="78"/>
      <c r="E938" s="44"/>
      <c r="F938" s="18"/>
      <c r="G938" s="18"/>
      <c r="H938" s="79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>
      <c r="A939" s="18"/>
      <c r="B939" s="18"/>
      <c r="C939" s="38"/>
      <c r="D939" s="78"/>
      <c r="E939" s="44"/>
      <c r="F939" s="18"/>
      <c r="G939" s="18"/>
      <c r="H939" s="79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>
      <c r="A940" s="18"/>
      <c r="B940" s="18"/>
      <c r="C940" s="38"/>
      <c r="D940" s="78"/>
      <c r="E940" s="44"/>
      <c r="F940" s="18"/>
      <c r="G940" s="18"/>
      <c r="H940" s="79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>
      <c r="A941" s="18"/>
      <c r="B941" s="18"/>
      <c r="C941" s="38"/>
      <c r="D941" s="78"/>
      <c r="E941" s="44"/>
      <c r="F941" s="18"/>
      <c r="G941" s="18"/>
      <c r="H941" s="79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>
      <c r="A942" s="18"/>
      <c r="B942" s="18"/>
      <c r="C942" s="38"/>
      <c r="D942" s="78"/>
      <c r="E942" s="44"/>
      <c r="F942" s="18"/>
      <c r="G942" s="18"/>
      <c r="H942" s="79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>
      <c r="A943" s="18"/>
      <c r="B943" s="18"/>
      <c r="C943" s="38"/>
      <c r="D943" s="78"/>
      <c r="E943" s="44"/>
      <c r="F943" s="18"/>
      <c r="G943" s="18"/>
      <c r="H943" s="79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>
      <c r="A944" s="18"/>
      <c r="B944" s="18"/>
      <c r="C944" s="38"/>
      <c r="D944" s="78"/>
      <c r="E944" s="44"/>
      <c r="F944" s="18"/>
      <c r="G944" s="18"/>
      <c r="H944" s="79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>
      <c r="A945" s="18"/>
      <c r="B945" s="18"/>
      <c r="C945" s="38"/>
      <c r="D945" s="78"/>
      <c r="E945" s="44"/>
      <c r="F945" s="18"/>
      <c r="G945" s="18"/>
      <c r="H945" s="79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>
      <c r="A946" s="18"/>
      <c r="B946" s="18"/>
      <c r="C946" s="38"/>
      <c r="D946" s="78"/>
      <c r="E946" s="44"/>
      <c r="F946" s="18"/>
      <c r="G946" s="18"/>
      <c r="H946" s="79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>
      <c r="A947" s="18"/>
      <c r="B947" s="18"/>
      <c r="C947" s="38"/>
      <c r="D947" s="78"/>
      <c r="E947" s="44"/>
      <c r="F947" s="18"/>
      <c r="G947" s="18"/>
      <c r="H947" s="79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>
      <c r="A948" s="18"/>
      <c r="B948" s="18"/>
      <c r="C948" s="38"/>
      <c r="D948" s="78"/>
      <c r="E948" s="44"/>
      <c r="F948" s="18"/>
      <c r="G948" s="18"/>
      <c r="H948" s="79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>
      <c r="A949" s="18"/>
      <c r="B949" s="18"/>
      <c r="C949" s="38"/>
      <c r="D949" s="78"/>
      <c r="E949" s="44"/>
      <c r="F949" s="18"/>
      <c r="G949" s="18"/>
      <c r="H949" s="79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>
      <c r="A950" s="18"/>
      <c r="B950" s="18"/>
      <c r="C950" s="38"/>
      <c r="D950" s="78"/>
      <c r="E950" s="44"/>
      <c r="F950" s="18"/>
      <c r="G950" s="18"/>
      <c r="H950" s="79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>
      <c r="A951" s="18"/>
      <c r="B951" s="18"/>
      <c r="C951" s="38"/>
      <c r="D951" s="78"/>
      <c r="E951" s="44"/>
      <c r="F951" s="18"/>
      <c r="G951" s="18"/>
      <c r="H951" s="79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>
      <c r="A952" s="18"/>
      <c r="B952" s="18"/>
      <c r="C952" s="38"/>
      <c r="D952" s="78"/>
      <c r="E952" s="44"/>
      <c r="F952" s="18"/>
      <c r="G952" s="18"/>
      <c r="H952" s="79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>
      <c r="A953" s="18"/>
      <c r="B953" s="18"/>
      <c r="C953" s="38"/>
      <c r="D953" s="78"/>
      <c r="E953" s="44"/>
      <c r="F953" s="18"/>
      <c r="G953" s="18"/>
      <c r="H953" s="79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>
      <c r="A954" s="18"/>
      <c r="B954" s="18"/>
      <c r="C954" s="38"/>
      <c r="D954" s="78"/>
      <c r="E954" s="44"/>
      <c r="F954" s="18"/>
      <c r="G954" s="18"/>
      <c r="H954" s="79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>
      <c r="A955" s="18"/>
      <c r="B955" s="18"/>
      <c r="C955" s="38"/>
      <c r="D955" s="78"/>
      <c r="E955" s="44"/>
      <c r="F955" s="18"/>
      <c r="G955" s="18"/>
      <c r="H955" s="79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>
      <c r="A956" s="18"/>
      <c r="B956" s="18"/>
      <c r="C956" s="38"/>
      <c r="D956" s="78"/>
      <c r="E956" s="44"/>
      <c r="F956" s="18"/>
      <c r="G956" s="18"/>
      <c r="H956" s="79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>
      <c r="A957" s="18"/>
      <c r="B957" s="18"/>
      <c r="C957" s="38"/>
      <c r="D957" s="78"/>
      <c r="E957" s="44"/>
      <c r="F957" s="18"/>
      <c r="G957" s="18"/>
      <c r="H957" s="79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>
      <c r="A958" s="18"/>
      <c r="B958" s="18"/>
      <c r="C958" s="38"/>
      <c r="D958" s="78"/>
      <c r="E958" s="44"/>
      <c r="F958" s="18"/>
      <c r="G958" s="18"/>
      <c r="H958" s="79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>
      <c r="A959" s="18"/>
      <c r="B959" s="18"/>
      <c r="C959" s="38"/>
      <c r="D959" s="78"/>
      <c r="E959" s="44"/>
      <c r="F959" s="18"/>
      <c r="G959" s="18"/>
      <c r="H959" s="79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>
      <c r="A960" s="18"/>
      <c r="B960" s="18"/>
      <c r="C960" s="38"/>
      <c r="D960" s="78"/>
      <c r="E960" s="44"/>
      <c r="F960" s="18"/>
      <c r="G960" s="18"/>
      <c r="H960" s="79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>
      <c r="A961" s="18"/>
      <c r="B961" s="18"/>
      <c r="C961" s="38"/>
      <c r="D961" s="78"/>
      <c r="E961" s="44"/>
      <c r="F961" s="18"/>
      <c r="G961" s="18"/>
      <c r="H961" s="79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>
      <c r="A962" s="18"/>
      <c r="B962" s="18"/>
      <c r="C962" s="38"/>
      <c r="D962" s="78"/>
      <c r="E962" s="44"/>
      <c r="F962" s="18"/>
      <c r="G962" s="18"/>
      <c r="H962" s="79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>
      <c r="A963" s="18"/>
      <c r="B963" s="18"/>
      <c r="C963" s="38"/>
      <c r="D963" s="78"/>
      <c r="E963" s="44"/>
      <c r="F963" s="18"/>
      <c r="G963" s="18"/>
      <c r="H963" s="79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>
      <c r="A964" s="18"/>
      <c r="B964" s="18"/>
      <c r="C964" s="38"/>
      <c r="D964" s="78"/>
      <c r="E964" s="44"/>
      <c r="F964" s="18"/>
      <c r="G964" s="18"/>
      <c r="H964" s="79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>
      <c r="A965" s="18"/>
      <c r="B965" s="18"/>
      <c r="C965" s="38"/>
      <c r="D965" s="78"/>
      <c r="E965" s="44"/>
      <c r="F965" s="18"/>
      <c r="G965" s="18"/>
      <c r="H965" s="79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>
      <c r="A966" s="18"/>
      <c r="B966" s="18"/>
      <c r="C966" s="38"/>
      <c r="D966" s="78"/>
      <c r="E966" s="44"/>
      <c r="F966" s="18"/>
      <c r="G966" s="18"/>
      <c r="H966" s="79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>
      <c r="A967" s="18"/>
      <c r="B967" s="18"/>
      <c r="C967" s="38"/>
      <c r="D967" s="78"/>
      <c r="E967" s="44"/>
      <c r="F967" s="18"/>
      <c r="G967" s="18"/>
      <c r="H967" s="79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>
      <c r="A968" s="18"/>
      <c r="B968" s="18"/>
      <c r="C968" s="38"/>
      <c r="D968" s="78"/>
      <c r="E968" s="44"/>
      <c r="F968" s="18"/>
      <c r="G968" s="18"/>
      <c r="H968" s="79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>
      <c r="A969" s="18"/>
      <c r="B969" s="18"/>
      <c r="C969" s="38"/>
      <c r="D969" s="78"/>
      <c r="E969" s="44"/>
      <c r="F969" s="18"/>
      <c r="G969" s="18"/>
      <c r="H969" s="79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>
      <c r="A970" s="18"/>
      <c r="B970" s="18"/>
      <c r="C970" s="38"/>
      <c r="D970" s="78"/>
      <c r="E970" s="44"/>
      <c r="F970" s="18"/>
      <c r="G970" s="18"/>
      <c r="H970" s="79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>
      <c r="A971" s="18"/>
      <c r="B971" s="18"/>
      <c r="C971" s="38"/>
      <c r="D971" s="78"/>
      <c r="E971" s="44"/>
      <c r="F971" s="18"/>
      <c r="G971" s="18"/>
      <c r="H971" s="79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>
      <c r="A972" s="18"/>
      <c r="B972" s="18"/>
      <c r="C972" s="38"/>
      <c r="D972" s="78"/>
      <c r="E972" s="44"/>
      <c r="F972" s="18"/>
      <c r="G972" s="18"/>
      <c r="H972" s="79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>
      <c r="A973" s="18"/>
      <c r="B973" s="18"/>
      <c r="C973" s="38"/>
      <c r="D973" s="78"/>
      <c r="E973" s="44"/>
      <c r="F973" s="18"/>
      <c r="G973" s="18"/>
      <c r="H973" s="79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>
      <c r="A974" s="18"/>
      <c r="B974" s="18"/>
      <c r="C974" s="38"/>
      <c r="D974" s="78"/>
      <c r="E974" s="44"/>
      <c r="F974" s="18"/>
      <c r="G974" s="18"/>
      <c r="H974" s="79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>
      <c r="A975" s="18"/>
      <c r="B975" s="18"/>
      <c r="C975" s="38"/>
      <c r="D975" s="78"/>
      <c r="E975" s="44"/>
      <c r="F975" s="18"/>
      <c r="G975" s="18"/>
      <c r="H975" s="79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>
      <c r="A976" s="18"/>
      <c r="B976" s="18"/>
      <c r="C976" s="38"/>
      <c r="D976" s="78"/>
      <c r="E976" s="44"/>
      <c r="F976" s="18"/>
      <c r="G976" s="18"/>
      <c r="H976" s="79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>
      <c r="A977" s="18"/>
      <c r="B977" s="18"/>
      <c r="C977" s="38"/>
      <c r="D977" s="78"/>
      <c r="E977" s="44"/>
      <c r="F977" s="18"/>
      <c r="G977" s="18"/>
      <c r="H977" s="79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>
      <c r="A978" s="18"/>
      <c r="B978" s="18"/>
      <c r="C978" s="38"/>
      <c r="D978" s="78"/>
      <c r="E978" s="44"/>
      <c r="F978" s="18"/>
      <c r="G978" s="18"/>
      <c r="H978" s="79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>
      <c r="A979" s="18"/>
      <c r="B979" s="18"/>
      <c r="C979" s="38"/>
      <c r="D979" s="78"/>
      <c r="E979" s="44"/>
      <c r="F979" s="18"/>
      <c r="G979" s="18"/>
      <c r="H979" s="79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>
      <c r="A980" s="18"/>
      <c r="B980" s="18"/>
      <c r="C980" s="38"/>
      <c r="D980" s="78"/>
      <c r="E980" s="44"/>
      <c r="F980" s="18"/>
      <c r="G980" s="18"/>
      <c r="H980" s="79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>
      <c r="A981" s="18"/>
      <c r="B981" s="18"/>
      <c r="C981" s="38"/>
      <c r="D981" s="78"/>
      <c r="E981" s="44"/>
      <c r="F981" s="18"/>
      <c r="G981" s="18"/>
      <c r="H981" s="79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>
      <c r="A982" s="18"/>
      <c r="B982" s="18"/>
      <c r="C982" s="38"/>
      <c r="D982" s="78"/>
      <c r="E982" s="44"/>
      <c r="F982" s="18"/>
      <c r="G982" s="18"/>
      <c r="H982" s="79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>
      <c r="A983" s="18"/>
      <c r="B983" s="18"/>
      <c r="C983" s="38"/>
      <c r="D983" s="78"/>
      <c r="E983" s="44"/>
      <c r="F983" s="18"/>
      <c r="G983" s="18"/>
      <c r="H983" s="79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>
      <c r="A984" s="18"/>
      <c r="B984" s="18"/>
      <c r="C984" s="38"/>
      <c r="D984" s="78"/>
      <c r="E984" s="44"/>
      <c r="F984" s="18"/>
      <c r="G984" s="18"/>
      <c r="H984" s="79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>
      <c r="A985" s="18"/>
      <c r="B985" s="18"/>
      <c r="C985" s="38"/>
      <c r="D985" s="78"/>
      <c r="E985" s="44"/>
      <c r="F985" s="18"/>
      <c r="G985" s="18"/>
      <c r="H985" s="79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>
      <c r="A986" s="18"/>
      <c r="B986" s="18"/>
      <c r="C986" s="38"/>
      <c r="D986" s="78"/>
      <c r="E986" s="44"/>
      <c r="F986" s="18"/>
      <c r="G986" s="18"/>
      <c r="H986" s="79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>
      <c r="A987" s="18"/>
      <c r="B987" s="18"/>
      <c r="C987" s="38"/>
      <c r="D987" s="78"/>
      <c r="E987" s="44"/>
      <c r="F987" s="18"/>
      <c r="G987" s="18"/>
      <c r="H987" s="79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>
      <c r="A988" s="18"/>
      <c r="B988" s="18"/>
      <c r="C988" s="38"/>
      <c r="D988" s="78"/>
      <c r="E988" s="44"/>
      <c r="F988" s="18"/>
      <c r="G988" s="18"/>
      <c r="H988" s="79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>
      <c r="A989" s="18"/>
      <c r="B989" s="18"/>
      <c r="C989" s="38"/>
      <c r="D989" s="78"/>
      <c r="E989" s="44"/>
      <c r="F989" s="18"/>
      <c r="G989" s="18"/>
      <c r="H989" s="79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>
      <c r="A990" s="18"/>
      <c r="B990" s="18"/>
      <c r="C990" s="38"/>
      <c r="D990" s="78"/>
      <c r="E990" s="44"/>
      <c r="F990" s="18"/>
      <c r="G990" s="18"/>
      <c r="H990" s="79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>
      <c r="A991" s="18"/>
      <c r="B991" s="18"/>
      <c r="C991" s="38"/>
      <c r="D991" s="78"/>
      <c r="E991" s="44"/>
      <c r="F991" s="18"/>
      <c r="G991" s="18"/>
      <c r="H991" s="79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>
      <c r="A992" s="18"/>
      <c r="B992" s="18"/>
      <c r="C992" s="38"/>
      <c r="D992" s="78"/>
      <c r="E992" s="44"/>
      <c r="F992" s="18"/>
      <c r="G992" s="18"/>
      <c r="H992" s="79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>
      <c r="A993" s="18"/>
      <c r="B993" s="18"/>
      <c r="C993" s="38"/>
      <c r="D993" s="78"/>
      <c r="E993" s="44"/>
      <c r="F993" s="18"/>
      <c r="G993" s="18"/>
      <c r="H993" s="79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>
      <c r="A994" s="18"/>
      <c r="B994" s="18"/>
      <c r="C994" s="38"/>
      <c r="D994" s="78"/>
      <c r="E994" s="44"/>
      <c r="F994" s="18"/>
      <c r="G994" s="18"/>
      <c r="H994" s="79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>
      <c r="A995" s="18"/>
      <c r="B995" s="18"/>
      <c r="C995" s="38"/>
      <c r="D995" s="78"/>
      <c r="E995" s="44"/>
      <c r="F995" s="18"/>
      <c r="G995" s="18"/>
      <c r="H995" s="79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>
      <c r="A996" s="18"/>
      <c r="B996" s="18"/>
      <c r="C996" s="38"/>
      <c r="D996" s="78"/>
      <c r="E996" s="44"/>
      <c r="F996" s="18"/>
      <c r="G996" s="18"/>
      <c r="H996" s="79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>
      <c r="A997" s="18"/>
      <c r="B997" s="18"/>
      <c r="C997" s="38"/>
      <c r="D997" s="78"/>
      <c r="E997" s="44"/>
      <c r="F997" s="18"/>
      <c r="G997" s="18"/>
      <c r="H997" s="79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>
      <c r="A998" s="18"/>
      <c r="B998" s="18"/>
      <c r="C998" s="38"/>
      <c r="D998" s="78"/>
      <c r="E998" s="44"/>
      <c r="F998" s="18"/>
      <c r="G998" s="18"/>
      <c r="H998" s="79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>
      <c r="A999" s="18"/>
      <c r="B999" s="18"/>
      <c r="C999" s="38"/>
      <c r="D999" s="78"/>
      <c r="E999" s="44"/>
      <c r="F999" s="18"/>
      <c r="G999" s="18"/>
      <c r="H999" s="79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>
      <c r="A1000" s="18"/>
      <c r="B1000" s="18"/>
      <c r="C1000" s="38"/>
      <c r="D1000" s="78"/>
      <c r="E1000" s="44"/>
      <c r="F1000" s="18"/>
      <c r="G1000" s="18"/>
      <c r="H1000" s="79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>
      <c r="A1001" s="18"/>
      <c r="B1001" s="18"/>
      <c r="C1001" s="38"/>
      <c r="D1001" s="78"/>
      <c r="E1001" s="44"/>
      <c r="F1001" s="18"/>
      <c r="G1001" s="18"/>
      <c r="H1001" s="79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>
      <c r="A1002" s="18"/>
      <c r="B1002" s="18"/>
      <c r="C1002" s="38"/>
      <c r="D1002" s="78"/>
      <c r="E1002" s="44"/>
      <c r="F1002" s="18"/>
      <c r="G1002" s="18"/>
      <c r="H1002" s="79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>
      <c r="A1003" s="18"/>
      <c r="B1003" s="18"/>
      <c r="C1003" s="38"/>
      <c r="D1003" s="78"/>
      <c r="E1003" s="44"/>
      <c r="F1003" s="18"/>
      <c r="G1003" s="18"/>
      <c r="H1003" s="79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>
      <c r="A1004" s="18"/>
      <c r="B1004" s="18"/>
      <c r="C1004" s="38"/>
      <c r="D1004" s="78"/>
      <c r="E1004" s="44"/>
      <c r="F1004" s="18"/>
      <c r="G1004" s="18"/>
      <c r="H1004" s="79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>
      <c r="A1005" s="18"/>
      <c r="B1005" s="18"/>
      <c r="C1005" s="38"/>
      <c r="D1005" s="78"/>
      <c r="E1005" s="44"/>
      <c r="F1005" s="18"/>
      <c r="G1005" s="18"/>
      <c r="H1005" s="79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>
      <c r="A1006" s="18"/>
      <c r="B1006" s="18"/>
      <c r="C1006" s="38"/>
      <c r="D1006" s="78"/>
      <c r="E1006" s="44"/>
      <c r="F1006" s="18"/>
      <c r="G1006" s="18"/>
      <c r="H1006" s="79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>
      <c r="A1007" s="18"/>
      <c r="B1007" s="18"/>
      <c r="C1007" s="38"/>
      <c r="D1007" s="78"/>
      <c r="E1007" s="44"/>
      <c r="F1007" s="18"/>
      <c r="G1007" s="18"/>
      <c r="H1007" s="79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>
      <c r="A1008" s="18"/>
      <c r="B1008" s="18"/>
      <c r="C1008" s="38"/>
      <c r="D1008" s="78"/>
      <c r="E1008" s="44"/>
      <c r="F1008" s="18"/>
      <c r="G1008" s="18"/>
      <c r="H1008" s="79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>
      <c r="A1009" s="18"/>
      <c r="B1009" s="18"/>
      <c r="C1009" s="38"/>
      <c r="D1009" s="78"/>
      <c r="E1009" s="44"/>
      <c r="F1009" s="18"/>
      <c r="G1009" s="18"/>
      <c r="H1009" s="79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>
      <c r="A1010" s="18"/>
      <c r="B1010" s="18"/>
      <c r="C1010" s="38"/>
      <c r="D1010" s="78"/>
      <c r="E1010" s="44"/>
      <c r="F1010" s="18"/>
      <c r="G1010" s="18"/>
      <c r="H1010" s="79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>
      <c r="A1011" s="18"/>
      <c r="B1011" s="18"/>
      <c r="C1011" s="38"/>
      <c r="D1011" s="78"/>
      <c r="E1011" s="44"/>
      <c r="F1011" s="18"/>
      <c r="G1011" s="18"/>
      <c r="H1011" s="79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>
      <c r="A1012" s="18"/>
      <c r="B1012" s="18"/>
      <c r="C1012" s="38"/>
      <c r="D1012" s="78"/>
      <c r="E1012" s="44"/>
      <c r="F1012" s="18"/>
      <c r="G1012" s="18"/>
      <c r="H1012" s="79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>
      <c r="A1013" s="18"/>
      <c r="B1013" s="18"/>
      <c r="C1013" s="38"/>
      <c r="D1013" s="78"/>
      <c r="E1013" s="44"/>
      <c r="F1013" s="18"/>
      <c r="G1013" s="18"/>
      <c r="H1013" s="79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>
      <c r="A1014" s="18"/>
      <c r="B1014" s="18"/>
      <c r="C1014" s="38"/>
      <c r="D1014" s="78"/>
      <c r="E1014" s="44"/>
      <c r="F1014" s="18"/>
      <c r="G1014" s="18"/>
      <c r="H1014" s="79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>
      <c r="A1015" s="18"/>
      <c r="B1015" s="18"/>
      <c r="C1015" s="38"/>
      <c r="D1015" s="78"/>
      <c r="E1015" s="44"/>
      <c r="F1015" s="18"/>
      <c r="G1015" s="18"/>
      <c r="H1015" s="79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>
      <c r="A1016" s="18"/>
      <c r="B1016" s="18"/>
      <c r="C1016" s="38"/>
      <c r="D1016" s="78"/>
      <c r="E1016" s="44"/>
      <c r="F1016" s="18"/>
      <c r="G1016" s="18"/>
      <c r="H1016" s="79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>
      <c r="A1017" s="18"/>
      <c r="B1017" s="18"/>
      <c r="C1017" s="38"/>
      <c r="D1017" s="78"/>
      <c r="E1017" s="44"/>
      <c r="F1017" s="18"/>
      <c r="G1017" s="18"/>
      <c r="H1017" s="79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>
      <c r="A1018" s="18"/>
      <c r="B1018" s="18"/>
      <c r="C1018" s="38"/>
      <c r="D1018" s="78"/>
      <c r="E1018" s="44"/>
      <c r="F1018" s="18"/>
      <c r="G1018" s="18"/>
      <c r="H1018" s="79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>
      <c r="A1019" s="18"/>
      <c r="B1019" s="18"/>
      <c r="C1019" s="38"/>
      <c r="D1019" s="78"/>
      <c r="E1019" s="44"/>
      <c r="F1019" s="18"/>
      <c r="G1019" s="18"/>
      <c r="H1019" s="79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>
      <c r="A1020" s="18"/>
      <c r="B1020" s="18"/>
      <c r="C1020" s="38"/>
      <c r="D1020" s="78"/>
      <c r="E1020" s="44"/>
      <c r="F1020" s="18"/>
      <c r="G1020" s="18"/>
      <c r="H1020" s="79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>
      <c r="A1021" s="18"/>
      <c r="B1021" s="18"/>
      <c r="C1021" s="38"/>
      <c r="D1021" s="78"/>
      <c r="E1021" s="44"/>
      <c r="F1021" s="18"/>
      <c r="G1021" s="18"/>
      <c r="H1021" s="79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>
      <c r="A1022" s="18"/>
      <c r="B1022" s="18"/>
      <c r="C1022" s="38"/>
      <c r="D1022" s="78"/>
      <c r="E1022" s="44"/>
      <c r="F1022" s="18"/>
      <c r="G1022" s="18"/>
      <c r="H1022" s="79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>
      <c r="A1023" s="18"/>
      <c r="B1023" s="18"/>
      <c r="C1023" s="38"/>
      <c r="D1023" s="78"/>
      <c r="E1023" s="44"/>
      <c r="F1023" s="18"/>
      <c r="G1023" s="18"/>
      <c r="H1023" s="79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>
      <c r="A1024" s="18"/>
      <c r="B1024" s="18"/>
      <c r="C1024" s="38"/>
      <c r="D1024" s="78"/>
      <c r="E1024" s="44"/>
      <c r="F1024" s="18"/>
      <c r="G1024" s="18"/>
      <c r="H1024" s="79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>
      <c r="A1025" s="18"/>
      <c r="B1025" s="18"/>
      <c r="C1025" s="38"/>
      <c r="D1025" s="78"/>
      <c r="E1025" s="44"/>
      <c r="F1025" s="18"/>
      <c r="G1025" s="18"/>
      <c r="H1025" s="79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>
      <c r="A1026" s="18"/>
      <c r="B1026" s="18"/>
      <c r="C1026" s="38"/>
      <c r="D1026" s="78"/>
      <c r="E1026" s="44"/>
      <c r="F1026" s="18"/>
      <c r="G1026" s="18"/>
      <c r="H1026" s="79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>
      <c r="A1027" s="18"/>
      <c r="B1027" s="18"/>
      <c r="C1027" s="38"/>
      <c r="D1027" s="78"/>
      <c r="E1027" s="44"/>
      <c r="F1027" s="18"/>
      <c r="G1027" s="18"/>
      <c r="H1027" s="79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>
      <c r="A1028" s="18"/>
      <c r="B1028" s="18"/>
      <c r="C1028" s="38"/>
      <c r="D1028" s="78"/>
      <c r="E1028" s="44"/>
      <c r="F1028" s="18"/>
      <c r="G1028" s="18"/>
      <c r="H1028" s="79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>
      <c r="A1029" s="18"/>
      <c r="B1029" s="18"/>
      <c r="C1029" s="38"/>
      <c r="D1029" s="78"/>
      <c r="E1029" s="44"/>
      <c r="F1029" s="18"/>
      <c r="G1029" s="18"/>
      <c r="H1029" s="79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>
      <c r="A1030" s="18"/>
      <c r="B1030" s="18"/>
      <c r="C1030" s="38"/>
      <c r="D1030" s="78"/>
      <c r="E1030" s="44"/>
      <c r="F1030" s="18"/>
      <c r="G1030" s="18"/>
      <c r="H1030" s="79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>
      <c r="A1031" s="18"/>
      <c r="B1031" s="18"/>
      <c r="C1031" s="38"/>
      <c r="D1031" s="78"/>
      <c r="E1031" s="44"/>
      <c r="F1031" s="18"/>
      <c r="G1031" s="18"/>
      <c r="H1031" s="79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>
      <c r="A1032" s="18"/>
      <c r="B1032" s="18"/>
      <c r="C1032" s="38"/>
      <c r="D1032" s="78"/>
      <c r="E1032" s="44"/>
      <c r="F1032" s="18"/>
      <c r="G1032" s="18"/>
      <c r="H1032" s="79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>
      <c r="A1033" s="18"/>
      <c r="B1033" s="18"/>
      <c r="C1033" s="38"/>
      <c r="D1033" s="78"/>
      <c r="E1033" s="44"/>
      <c r="F1033" s="18"/>
      <c r="G1033" s="18"/>
      <c r="H1033" s="79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>
      <c r="A1034" s="18"/>
      <c r="B1034" s="18"/>
      <c r="C1034" s="38"/>
      <c r="D1034" s="78"/>
      <c r="E1034" s="44"/>
      <c r="F1034" s="18"/>
      <c r="G1034" s="18"/>
      <c r="H1034" s="79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>
      <c r="A1035" s="18"/>
      <c r="B1035" s="18"/>
      <c r="C1035" s="38"/>
      <c r="D1035" s="78"/>
      <c r="E1035" s="44"/>
      <c r="F1035" s="18"/>
      <c r="G1035" s="18"/>
      <c r="H1035" s="79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>
      <c r="A1036" s="18"/>
      <c r="B1036" s="18"/>
      <c r="C1036" s="38"/>
      <c r="D1036" s="78"/>
      <c r="E1036" s="44"/>
      <c r="F1036" s="18"/>
      <c r="G1036" s="18"/>
      <c r="H1036" s="79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>
      <c r="A1037" s="18"/>
      <c r="B1037" s="18"/>
      <c r="C1037" s="38"/>
      <c r="D1037" s="78"/>
      <c r="E1037" s="44"/>
      <c r="F1037" s="18"/>
      <c r="G1037" s="18"/>
      <c r="H1037" s="79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>
      <c r="A1038" s="18"/>
      <c r="B1038" s="18"/>
      <c r="C1038" s="38"/>
      <c r="D1038" s="78"/>
      <c r="E1038" s="44"/>
      <c r="F1038" s="18"/>
      <c r="G1038" s="18"/>
      <c r="H1038" s="79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>
      <c r="A1039" s="18"/>
      <c r="B1039" s="18"/>
      <c r="C1039" s="38"/>
      <c r="D1039" s="78"/>
      <c r="E1039" s="44"/>
      <c r="F1039" s="18"/>
      <c r="G1039" s="18"/>
      <c r="H1039" s="79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>
      <c r="A1040" s="18"/>
      <c r="B1040" s="18"/>
      <c r="C1040" s="38"/>
      <c r="D1040" s="78"/>
      <c r="E1040" s="44"/>
      <c r="F1040" s="18"/>
      <c r="G1040" s="18"/>
      <c r="H1040" s="79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>
      <c r="A1041" s="18"/>
      <c r="B1041" s="18"/>
      <c r="C1041" s="38"/>
      <c r="D1041" s="78"/>
      <c r="E1041" s="44"/>
      <c r="F1041" s="18"/>
      <c r="G1041" s="18"/>
      <c r="H1041" s="79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>
      <c r="A1042" s="18"/>
      <c r="B1042" s="18"/>
      <c r="C1042" s="38"/>
      <c r="D1042" s="78"/>
      <c r="E1042" s="44"/>
      <c r="F1042" s="18"/>
      <c r="G1042" s="18"/>
      <c r="H1042" s="79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>
      <c r="A1043" s="18"/>
      <c r="B1043" s="18"/>
      <c r="C1043" s="38"/>
      <c r="D1043" s="78"/>
      <c r="E1043" s="44"/>
      <c r="F1043" s="18"/>
      <c r="G1043" s="18"/>
      <c r="H1043" s="79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>
      <c r="A1044" s="18"/>
      <c r="B1044" s="18"/>
      <c r="C1044" s="38"/>
      <c r="D1044" s="78"/>
      <c r="E1044" s="44"/>
      <c r="F1044" s="18"/>
      <c r="G1044" s="18"/>
      <c r="H1044" s="79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>
      <c r="A1045" s="18"/>
      <c r="B1045" s="18"/>
      <c r="C1045" s="38"/>
      <c r="D1045" s="78"/>
      <c r="E1045" s="44"/>
      <c r="F1045" s="18"/>
      <c r="G1045" s="18"/>
      <c r="H1045" s="79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>
      <c r="A1046" s="18"/>
      <c r="B1046" s="18"/>
      <c r="C1046" s="38"/>
      <c r="D1046" s="78"/>
      <c r="E1046" s="44"/>
      <c r="F1046" s="18"/>
      <c r="G1046" s="18"/>
      <c r="H1046" s="79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>
      <c r="A1047" s="18"/>
      <c r="B1047" s="18"/>
      <c r="C1047" s="38"/>
      <c r="D1047" s="78"/>
      <c r="E1047" s="44"/>
      <c r="F1047" s="18"/>
      <c r="G1047" s="18"/>
      <c r="H1047" s="79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>
      <c r="A1048" s="18"/>
      <c r="B1048" s="18"/>
      <c r="C1048" s="38"/>
      <c r="D1048" s="78"/>
      <c r="E1048" s="44"/>
      <c r="F1048" s="18"/>
      <c r="G1048" s="18"/>
      <c r="H1048" s="79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>
      <c r="A1049" s="18"/>
      <c r="B1049" s="18"/>
      <c r="C1049" s="38"/>
      <c r="D1049" s="78"/>
      <c r="E1049" s="44"/>
      <c r="F1049" s="18"/>
      <c r="G1049" s="18"/>
      <c r="H1049" s="79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>
      <c r="A1050" s="18"/>
      <c r="B1050" s="18"/>
      <c r="C1050" s="38"/>
      <c r="D1050" s="78"/>
      <c r="E1050" s="44"/>
      <c r="F1050" s="18"/>
      <c r="G1050" s="18"/>
      <c r="H1050" s="79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>
      <c r="A1051" s="18"/>
      <c r="B1051" s="18"/>
      <c r="C1051" s="38"/>
      <c r="D1051" s="78"/>
      <c r="E1051" s="44"/>
      <c r="F1051" s="18"/>
      <c r="G1051" s="18"/>
      <c r="H1051" s="79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>
      <c r="A1052" s="18"/>
      <c r="B1052" s="18"/>
      <c r="C1052" s="38"/>
      <c r="D1052" s="78"/>
      <c r="E1052" s="44"/>
      <c r="F1052" s="18"/>
      <c r="G1052" s="18"/>
      <c r="H1052" s="79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>
      <c r="A1053" s="18"/>
      <c r="B1053" s="18"/>
      <c r="C1053" s="38"/>
      <c r="D1053" s="78"/>
      <c r="E1053" s="44"/>
      <c r="F1053" s="18"/>
      <c r="G1053" s="18"/>
      <c r="H1053" s="79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>
      <c r="A1054" s="18"/>
      <c r="B1054" s="18"/>
      <c r="C1054" s="38"/>
      <c r="D1054" s="78"/>
      <c r="E1054" s="44"/>
      <c r="F1054" s="18"/>
      <c r="G1054" s="18"/>
      <c r="H1054" s="79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>
      <c r="A1055" s="18"/>
      <c r="B1055" s="18"/>
      <c r="C1055" s="38"/>
      <c r="D1055" s="78"/>
      <c r="E1055" s="44"/>
      <c r="F1055" s="18"/>
      <c r="G1055" s="18"/>
      <c r="H1055" s="79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>
      <c r="A1056" s="18"/>
      <c r="B1056" s="18"/>
      <c r="C1056" s="38"/>
      <c r="D1056" s="78"/>
      <c r="E1056" s="44"/>
      <c r="F1056" s="18"/>
      <c r="G1056" s="18"/>
      <c r="H1056" s="79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>
      <c r="A1057" s="18"/>
      <c r="B1057" s="18"/>
      <c r="C1057" s="38"/>
      <c r="D1057" s="78"/>
      <c r="E1057" s="44"/>
      <c r="F1057" s="18"/>
      <c r="G1057" s="18"/>
      <c r="H1057" s="79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>
      <c r="A1058" s="18"/>
      <c r="B1058" s="18"/>
      <c r="C1058" s="38"/>
      <c r="D1058" s="78"/>
      <c r="E1058" s="44"/>
      <c r="F1058" s="18"/>
      <c r="G1058" s="18"/>
      <c r="H1058" s="79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>
      <c r="A1059" s="18"/>
      <c r="B1059" s="18"/>
      <c r="C1059" s="38"/>
      <c r="D1059" s="78"/>
      <c r="E1059" s="44"/>
      <c r="F1059" s="18"/>
      <c r="G1059" s="18"/>
      <c r="H1059" s="79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>
      <c r="A1060" s="18"/>
      <c r="B1060" s="18"/>
      <c r="C1060" s="38"/>
      <c r="D1060" s="78"/>
      <c r="E1060" s="44"/>
      <c r="F1060" s="18"/>
      <c r="G1060" s="18"/>
      <c r="H1060" s="79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  <row r="1061">
      <c r="A1061" s="18"/>
      <c r="B1061" s="18"/>
      <c r="C1061" s="38"/>
      <c r="D1061" s="78"/>
      <c r="E1061" s="44"/>
      <c r="F1061" s="18"/>
      <c r="G1061" s="18"/>
      <c r="H1061" s="79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</row>
    <row r="1062">
      <c r="A1062" s="18"/>
      <c r="B1062" s="18"/>
      <c r="C1062" s="38"/>
      <c r="D1062" s="78"/>
      <c r="E1062" s="44"/>
      <c r="F1062" s="18"/>
      <c r="G1062" s="18"/>
      <c r="H1062" s="79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</row>
    <row r="1063">
      <c r="A1063" s="18"/>
      <c r="B1063" s="18"/>
      <c r="C1063" s="38"/>
      <c r="D1063" s="78"/>
      <c r="E1063" s="44"/>
      <c r="F1063" s="18"/>
      <c r="G1063" s="18"/>
      <c r="H1063" s="79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>
      <c r="A1064" s="18"/>
      <c r="B1064" s="18"/>
      <c r="C1064" s="38"/>
      <c r="D1064" s="78"/>
      <c r="E1064" s="44"/>
      <c r="F1064" s="18"/>
      <c r="G1064" s="18"/>
      <c r="H1064" s="79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>
      <c r="A1065" s="18"/>
      <c r="B1065" s="18"/>
      <c r="C1065" s="38"/>
      <c r="D1065" s="78"/>
      <c r="E1065" s="44"/>
      <c r="F1065" s="18"/>
      <c r="G1065" s="18"/>
      <c r="H1065" s="79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>
      <c r="A1066" s="18"/>
      <c r="B1066" s="18"/>
      <c r="C1066" s="38"/>
      <c r="D1066" s="78"/>
      <c r="E1066" s="44"/>
      <c r="F1066" s="18"/>
      <c r="G1066" s="18"/>
      <c r="H1066" s="79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>
      <c r="A1067" s="18"/>
      <c r="B1067" s="18"/>
      <c r="C1067" s="38"/>
      <c r="D1067" s="78"/>
      <c r="E1067" s="44"/>
      <c r="F1067" s="18"/>
      <c r="G1067" s="18"/>
      <c r="H1067" s="79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>
      <c r="A1068" s="18"/>
      <c r="B1068" s="18"/>
      <c r="C1068" s="38"/>
      <c r="D1068" s="78"/>
      <c r="E1068" s="44"/>
      <c r="F1068" s="18"/>
      <c r="G1068" s="18"/>
      <c r="H1068" s="79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</row>
    <row r="1069">
      <c r="A1069" s="18"/>
      <c r="B1069" s="18"/>
      <c r="C1069" s="38"/>
      <c r="D1069" s="78"/>
      <c r="E1069" s="44"/>
      <c r="F1069" s="18"/>
      <c r="G1069" s="18"/>
      <c r="H1069" s="79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>
      <c r="A1070" s="18"/>
      <c r="B1070" s="18"/>
      <c r="C1070" s="38"/>
      <c r="D1070" s="78"/>
      <c r="E1070" s="44"/>
      <c r="F1070" s="18"/>
      <c r="G1070" s="18"/>
      <c r="H1070" s="79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>
      <c r="A1071" s="18"/>
      <c r="B1071" s="18"/>
      <c r="C1071" s="38"/>
      <c r="D1071" s="78"/>
      <c r="E1071" s="44"/>
      <c r="F1071" s="18"/>
      <c r="G1071" s="18"/>
      <c r="H1071" s="79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>
      <c r="A1072" s="18"/>
      <c r="B1072" s="18"/>
      <c r="C1072" s="38"/>
      <c r="D1072" s="78"/>
      <c r="E1072" s="44"/>
      <c r="F1072" s="18"/>
      <c r="G1072" s="18"/>
      <c r="H1072" s="79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</row>
    <row r="1073">
      <c r="A1073" s="18"/>
      <c r="B1073" s="18"/>
      <c r="C1073" s="38"/>
      <c r="D1073" s="78"/>
      <c r="E1073" s="44"/>
      <c r="F1073" s="18"/>
      <c r="G1073" s="18"/>
      <c r="H1073" s="79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>
      <c r="A1074" s="18"/>
      <c r="B1074" s="18"/>
      <c r="C1074" s="38"/>
      <c r="D1074" s="78"/>
      <c r="E1074" s="44"/>
      <c r="F1074" s="18"/>
      <c r="G1074" s="18"/>
      <c r="H1074" s="79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>
      <c r="A1075" s="18"/>
      <c r="B1075" s="18"/>
      <c r="C1075" s="38"/>
      <c r="D1075" s="78"/>
      <c r="E1075" s="44"/>
      <c r="F1075" s="18"/>
      <c r="G1075" s="18"/>
      <c r="H1075" s="79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>
      <c r="A1076" s="18"/>
      <c r="B1076" s="18"/>
      <c r="C1076" s="38"/>
      <c r="D1076" s="78"/>
      <c r="E1076" s="44"/>
      <c r="F1076" s="18"/>
      <c r="G1076" s="18"/>
      <c r="H1076" s="79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>
      <c r="A1077" s="18"/>
      <c r="B1077" s="18"/>
      <c r="C1077" s="38"/>
      <c r="D1077" s="78"/>
      <c r="E1077" s="44"/>
      <c r="F1077" s="18"/>
      <c r="G1077" s="18"/>
      <c r="H1077" s="79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</row>
    <row r="1078">
      <c r="A1078" s="18"/>
      <c r="B1078" s="18"/>
      <c r="C1078" s="38"/>
      <c r="D1078" s="78"/>
      <c r="E1078" s="44"/>
      <c r="F1078" s="18"/>
      <c r="G1078" s="18"/>
      <c r="H1078" s="79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</row>
    <row r="1079">
      <c r="A1079" s="18"/>
      <c r="B1079" s="18"/>
      <c r="C1079" s="38"/>
      <c r="D1079" s="78"/>
      <c r="E1079" s="44"/>
      <c r="F1079" s="18"/>
      <c r="G1079" s="18"/>
      <c r="H1079" s="79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</row>
    <row r="1080">
      <c r="A1080" s="18"/>
      <c r="B1080" s="18"/>
      <c r="C1080" s="38"/>
      <c r="D1080" s="78"/>
      <c r="E1080" s="44"/>
      <c r="F1080" s="18"/>
      <c r="G1080" s="18"/>
      <c r="H1080" s="79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</row>
    <row r="1081">
      <c r="A1081" s="18"/>
      <c r="B1081" s="18"/>
      <c r="C1081" s="38"/>
      <c r="D1081" s="78"/>
      <c r="E1081" s="44"/>
      <c r="F1081" s="18"/>
      <c r="G1081" s="18"/>
      <c r="H1081" s="79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</row>
    <row r="1082">
      <c r="A1082" s="18"/>
      <c r="B1082" s="18"/>
      <c r="C1082" s="38"/>
      <c r="D1082" s="78"/>
      <c r="E1082" s="44"/>
      <c r="F1082" s="18"/>
      <c r="G1082" s="18"/>
      <c r="H1082" s="79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</row>
    <row r="1083">
      <c r="A1083" s="18"/>
      <c r="B1083" s="18"/>
      <c r="C1083" s="38"/>
      <c r="D1083" s="78"/>
      <c r="E1083" s="44"/>
      <c r="F1083" s="18"/>
      <c r="G1083" s="18"/>
      <c r="H1083" s="79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</row>
    <row r="1084">
      <c r="A1084" s="18"/>
      <c r="B1084" s="18"/>
      <c r="C1084" s="38"/>
      <c r="D1084" s="78"/>
      <c r="E1084" s="44"/>
      <c r="F1084" s="18"/>
      <c r="G1084" s="18"/>
      <c r="H1084" s="79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</row>
    <row r="1085">
      <c r="A1085" s="18"/>
      <c r="B1085" s="18"/>
      <c r="C1085" s="38"/>
      <c r="D1085" s="78"/>
      <c r="E1085" s="44"/>
      <c r="F1085" s="18"/>
      <c r="G1085" s="18"/>
      <c r="H1085" s="79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</row>
    <row r="1086">
      <c r="A1086" s="18"/>
      <c r="B1086" s="18"/>
      <c r="C1086" s="38"/>
      <c r="D1086" s="78"/>
      <c r="E1086" s="44"/>
      <c r="F1086" s="18"/>
      <c r="G1086" s="18"/>
      <c r="H1086" s="79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</row>
    <row r="1087">
      <c r="A1087" s="18"/>
      <c r="B1087" s="18"/>
      <c r="C1087" s="38"/>
      <c r="D1087" s="78"/>
      <c r="E1087" s="44"/>
      <c r="F1087" s="18"/>
      <c r="G1087" s="18"/>
      <c r="H1087" s="79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</row>
    <row r="1088">
      <c r="A1088" s="18"/>
      <c r="B1088" s="18"/>
      <c r="C1088" s="38"/>
      <c r="D1088" s="78"/>
      <c r="E1088" s="44"/>
      <c r="F1088" s="18"/>
      <c r="G1088" s="18"/>
      <c r="H1088" s="79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</row>
    <row r="1089">
      <c r="A1089" s="18"/>
      <c r="B1089" s="18"/>
      <c r="C1089" s="38"/>
      <c r="D1089" s="78"/>
      <c r="E1089" s="44"/>
      <c r="F1089" s="18"/>
      <c r="G1089" s="18"/>
      <c r="H1089" s="79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</row>
    <row r="1090">
      <c r="A1090" s="18"/>
      <c r="B1090" s="18"/>
      <c r="C1090" s="38"/>
      <c r="D1090" s="78"/>
      <c r="E1090" s="44"/>
      <c r="F1090" s="18"/>
      <c r="G1090" s="18"/>
      <c r="H1090" s="79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</row>
    <row r="1091">
      <c r="A1091" s="18"/>
      <c r="B1091" s="18"/>
      <c r="C1091" s="38"/>
      <c r="D1091" s="78"/>
      <c r="E1091" s="44"/>
      <c r="F1091" s="18"/>
      <c r="G1091" s="18"/>
      <c r="H1091" s="79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</row>
    <row r="1092">
      <c r="A1092" s="18"/>
      <c r="B1092" s="18"/>
      <c r="C1092" s="38"/>
      <c r="D1092" s="78"/>
      <c r="E1092" s="44"/>
      <c r="F1092" s="18"/>
      <c r="G1092" s="18"/>
      <c r="H1092" s="79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</row>
    <row r="1093">
      <c r="A1093" s="18"/>
      <c r="B1093" s="18"/>
      <c r="C1093" s="38"/>
      <c r="D1093" s="78"/>
      <c r="E1093" s="44"/>
      <c r="F1093" s="18"/>
      <c r="G1093" s="18"/>
      <c r="H1093" s="79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</row>
    <row r="1094">
      <c r="A1094" s="18"/>
      <c r="B1094" s="18"/>
      <c r="C1094" s="38"/>
      <c r="D1094" s="78"/>
      <c r="E1094" s="44"/>
      <c r="F1094" s="18"/>
      <c r="G1094" s="18"/>
      <c r="H1094" s="79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</row>
    <row r="1095">
      <c r="A1095" s="18"/>
      <c r="B1095" s="18"/>
      <c r="C1095" s="38"/>
      <c r="D1095" s="78"/>
      <c r="E1095" s="44"/>
      <c r="F1095" s="18"/>
      <c r="G1095" s="18"/>
      <c r="H1095" s="79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</row>
    <row r="1096">
      <c r="A1096" s="18"/>
      <c r="B1096" s="18"/>
      <c r="C1096" s="38"/>
      <c r="D1096" s="78"/>
      <c r="E1096" s="44"/>
      <c r="F1096" s="18"/>
      <c r="G1096" s="18"/>
      <c r="H1096" s="79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</row>
    <row r="1097">
      <c r="A1097" s="18"/>
      <c r="B1097" s="18"/>
      <c r="C1097" s="38"/>
      <c r="D1097" s="78"/>
      <c r="E1097" s="44"/>
      <c r="F1097" s="18"/>
      <c r="G1097" s="18"/>
      <c r="H1097" s="79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</row>
    <row r="1098">
      <c r="A1098" s="18"/>
      <c r="B1098" s="18"/>
      <c r="C1098" s="38"/>
      <c r="D1098" s="78"/>
      <c r="E1098" s="44"/>
      <c r="F1098" s="18"/>
      <c r="G1098" s="18"/>
      <c r="H1098" s="79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</row>
    <row r="1099">
      <c r="A1099" s="18"/>
      <c r="B1099" s="18"/>
      <c r="C1099" s="38"/>
      <c r="D1099" s="78"/>
      <c r="E1099" s="44"/>
      <c r="F1099" s="18"/>
      <c r="G1099" s="18"/>
      <c r="H1099" s="79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</row>
    <row r="1100">
      <c r="A1100" s="18"/>
      <c r="B1100" s="18"/>
      <c r="C1100" s="38"/>
      <c r="D1100" s="78"/>
      <c r="E1100" s="44"/>
      <c r="F1100" s="18"/>
      <c r="G1100" s="18"/>
      <c r="H1100" s="79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</row>
    <row r="1101">
      <c r="A1101" s="18"/>
      <c r="B1101" s="18"/>
      <c r="C1101" s="38"/>
      <c r="D1101" s="78"/>
      <c r="E1101" s="44"/>
      <c r="F1101" s="18"/>
      <c r="G1101" s="18"/>
      <c r="H1101" s="79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</row>
    <row r="1102">
      <c r="A1102" s="18"/>
      <c r="B1102" s="18"/>
      <c r="C1102" s="38"/>
      <c r="D1102" s="78"/>
      <c r="E1102" s="44"/>
      <c r="F1102" s="18"/>
      <c r="G1102" s="18"/>
      <c r="H1102" s="79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</row>
    <row r="1103">
      <c r="A1103" s="18"/>
      <c r="B1103" s="18"/>
      <c r="C1103" s="38"/>
      <c r="D1103" s="78"/>
      <c r="E1103" s="44"/>
      <c r="F1103" s="18"/>
      <c r="G1103" s="18"/>
      <c r="H1103" s="79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</row>
    <row r="1104">
      <c r="A1104" s="18"/>
      <c r="B1104" s="18"/>
      <c r="C1104" s="38"/>
      <c r="D1104" s="78"/>
      <c r="E1104" s="44"/>
      <c r="F1104" s="18"/>
      <c r="G1104" s="18"/>
      <c r="H1104" s="79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</row>
    <row r="1105">
      <c r="A1105" s="18"/>
      <c r="B1105" s="18"/>
      <c r="C1105" s="38"/>
      <c r="D1105" s="78"/>
      <c r="E1105" s="44"/>
      <c r="F1105" s="18"/>
      <c r="G1105" s="18"/>
      <c r="H1105" s="79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</row>
    <row r="1106">
      <c r="A1106" s="18"/>
      <c r="B1106" s="18"/>
      <c r="C1106" s="38"/>
      <c r="D1106" s="78"/>
      <c r="E1106" s="44"/>
      <c r="F1106" s="7"/>
      <c r="G1106" s="41"/>
      <c r="H1106" s="79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</row>
  </sheetData>
  <hyperlinks>
    <hyperlink r:id="rId1" ref="H2"/>
    <hyperlink r:id="rId2" ref="I3"/>
    <hyperlink r:id="rId3" ref="I4"/>
    <hyperlink r:id="rId4" ref="H5"/>
    <hyperlink r:id="rId5" ref="H6"/>
    <hyperlink r:id="rId6" ref="H7"/>
    <hyperlink r:id="rId7" ref="H8"/>
    <hyperlink r:id="rId8" ref="H9"/>
    <hyperlink r:id="rId9" ref="H10"/>
    <hyperlink r:id="rId10" ref="H12"/>
    <hyperlink r:id="rId11" ref="H13"/>
    <hyperlink r:id="rId12" ref="H14"/>
    <hyperlink r:id="rId13" ref="H15"/>
    <hyperlink r:id="rId14" ref="I15"/>
    <hyperlink r:id="rId15" ref="H16"/>
    <hyperlink r:id="rId16" ref="H17"/>
    <hyperlink r:id="rId17" ref="H18"/>
    <hyperlink r:id="rId18" ref="H19"/>
    <hyperlink r:id="rId19" ref="H20"/>
    <hyperlink r:id="rId20" ref="H21"/>
    <hyperlink r:id="rId21" ref="H22"/>
    <hyperlink r:id="rId22" ref="H23"/>
    <hyperlink r:id="rId23" ref="I23"/>
    <hyperlink r:id="rId24" ref="J23"/>
    <hyperlink r:id="rId25" ref="I25"/>
    <hyperlink r:id="rId26" ref="I26"/>
    <hyperlink r:id="rId27" ref="I29"/>
    <hyperlink r:id="rId28" ref="H555"/>
    <hyperlink r:id="rId29" ref="H556"/>
    <hyperlink r:id="rId30" ref="H557"/>
    <hyperlink r:id="rId31" ref="H558"/>
    <hyperlink r:id="rId32" ref="H559"/>
    <hyperlink r:id="rId33" ref="H560"/>
    <hyperlink r:id="rId34" ref="H561"/>
    <hyperlink r:id="rId35" ref="H562"/>
    <hyperlink r:id="rId36" ref="H563"/>
    <hyperlink r:id="rId37" ref="H564"/>
    <hyperlink r:id="rId38" ref="H565"/>
    <hyperlink r:id="rId39" ref="H566"/>
    <hyperlink r:id="rId40" ref="H567"/>
    <hyperlink r:id="rId41" ref="H568"/>
    <hyperlink r:id="rId42" ref="H569"/>
    <hyperlink r:id="rId43" ref="H570"/>
    <hyperlink r:id="rId44" ref="H571"/>
    <hyperlink r:id="rId45" ref="H572"/>
    <hyperlink r:id="rId46" ref="H573"/>
    <hyperlink r:id="rId47" ref="H574"/>
    <hyperlink r:id="rId48" ref="B575"/>
    <hyperlink r:id="rId49" ref="H575"/>
    <hyperlink r:id="rId50" ref="H576"/>
    <hyperlink r:id="rId51" ref="H577"/>
    <hyperlink r:id="rId52" ref="H578"/>
    <hyperlink r:id="rId53" ref="H579"/>
    <hyperlink r:id="rId54" ref="H580"/>
    <hyperlink r:id="rId55" ref="H581"/>
    <hyperlink r:id="rId56" ref="H582"/>
    <hyperlink r:id="rId57" ref="H583"/>
    <hyperlink r:id="rId58" ref="H584"/>
    <hyperlink r:id="rId59" ref="H585"/>
    <hyperlink r:id="rId60" ref="H586"/>
    <hyperlink r:id="rId61" ref="H587"/>
    <hyperlink r:id="rId62" ref="H588"/>
    <hyperlink r:id="rId63" ref="H589"/>
    <hyperlink r:id="rId64" ref="H590"/>
    <hyperlink r:id="rId65" ref="H591"/>
    <hyperlink r:id="rId66" ref="H592"/>
    <hyperlink r:id="rId67" ref="H593"/>
    <hyperlink r:id="rId68" ref="H594"/>
    <hyperlink r:id="rId69" ref="H595"/>
    <hyperlink r:id="rId70" ref="H596"/>
    <hyperlink r:id="rId71" ref="H597"/>
    <hyperlink r:id="rId72" ref="H598"/>
    <hyperlink r:id="rId73" ref="H599"/>
    <hyperlink r:id="rId74" ref="H600"/>
    <hyperlink r:id="rId75" ref="H601"/>
    <hyperlink r:id="rId76" ref="H602"/>
    <hyperlink r:id="rId77" ref="H603"/>
    <hyperlink r:id="rId78" ref="H604"/>
    <hyperlink r:id="rId79" ref="H605"/>
    <hyperlink r:id="rId80" ref="H606"/>
    <hyperlink r:id="rId81" ref="H607"/>
    <hyperlink r:id="rId82" ref="H608"/>
    <hyperlink r:id="rId83" ref="H609"/>
    <hyperlink r:id="rId84" ref="H610"/>
    <hyperlink r:id="rId85" ref="H611"/>
    <hyperlink r:id="rId86" ref="H612"/>
    <hyperlink r:id="rId87" ref="H613"/>
    <hyperlink r:id="rId88" ref="H614"/>
    <hyperlink r:id="rId89" ref="H615"/>
    <hyperlink r:id="rId90" ref="H616"/>
    <hyperlink r:id="rId91" ref="H617"/>
    <hyperlink r:id="rId92" ref="H618"/>
    <hyperlink r:id="rId93" ref="H619"/>
    <hyperlink r:id="rId94" ref="H620"/>
    <hyperlink r:id="rId95" ref="H621"/>
    <hyperlink r:id="rId96" ref="H622"/>
    <hyperlink r:id="rId97" ref="H623"/>
    <hyperlink r:id="rId98" ref="H624"/>
    <hyperlink r:id="rId99" ref="H625"/>
    <hyperlink r:id="rId100" ref="H626"/>
    <hyperlink r:id="rId101" ref="H627"/>
    <hyperlink r:id="rId102" ref="H628"/>
    <hyperlink r:id="rId103" ref="H629"/>
    <hyperlink r:id="rId104" ref="H630"/>
    <hyperlink r:id="rId105" ref="H631"/>
    <hyperlink r:id="rId106" ref="H632"/>
    <hyperlink r:id="rId107" ref="H633"/>
    <hyperlink r:id="rId108" ref="H634"/>
    <hyperlink r:id="rId109" ref="H635"/>
    <hyperlink r:id="rId110" ref="H636"/>
    <hyperlink r:id="rId111" ref="H637"/>
    <hyperlink r:id="rId112" ref="H638"/>
    <hyperlink r:id="rId113" ref="H639"/>
    <hyperlink r:id="rId114" ref="H640"/>
    <hyperlink r:id="rId115" ref="H641"/>
    <hyperlink r:id="rId116" ref="H642"/>
    <hyperlink r:id="rId117" ref="H643"/>
    <hyperlink r:id="rId118" ref="H644"/>
    <hyperlink r:id="rId119" ref="H645"/>
    <hyperlink r:id="rId120" ref="H646"/>
    <hyperlink r:id="rId121" ref="H647"/>
    <hyperlink r:id="rId122" ref="H648"/>
    <hyperlink r:id="rId123" ref="H649"/>
    <hyperlink r:id="rId124" ref="H650"/>
    <hyperlink r:id="rId125" ref="H651"/>
    <hyperlink r:id="rId126" ref="H652"/>
    <hyperlink r:id="rId127" ref="H653"/>
    <hyperlink r:id="rId128" ref="H654"/>
    <hyperlink r:id="rId129" ref="H655"/>
    <hyperlink r:id="rId130" ref="H656"/>
    <hyperlink r:id="rId131" ref="H657"/>
    <hyperlink r:id="rId132" ref="H658"/>
    <hyperlink r:id="rId133" ref="H659"/>
    <hyperlink r:id="rId134" ref="H660"/>
    <hyperlink r:id="rId135" ref="H661"/>
    <hyperlink r:id="rId136" ref="H662"/>
    <hyperlink r:id="rId137" ref="H663"/>
    <hyperlink r:id="rId138" ref="H664"/>
    <hyperlink r:id="rId139" ref="H665"/>
    <hyperlink r:id="rId140" ref="H666"/>
    <hyperlink r:id="rId141" ref="H667"/>
    <hyperlink r:id="rId142" ref="H668"/>
    <hyperlink r:id="rId143" ref="H669"/>
    <hyperlink r:id="rId144" ref="H670"/>
    <hyperlink r:id="rId145" ref="H671"/>
    <hyperlink r:id="rId146" ref="H672"/>
    <hyperlink r:id="rId147" ref="H673"/>
    <hyperlink r:id="rId148" ref="H674"/>
    <hyperlink r:id="rId149" ref="H675"/>
    <hyperlink r:id="rId150" ref="H676"/>
    <hyperlink r:id="rId151" ref="H677"/>
    <hyperlink r:id="rId152" ref="H678"/>
  </hyperlinks>
  <drawing r:id="rId15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6" width="8.71"/>
  </cols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6" width="8.71"/>
  </cols>
  <sheetData/>
  <drawing r:id="rId1"/>
</worksheet>
</file>