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rasferimenti ad Enti Pubblici" sheetId="1" r:id="rId3"/>
  </sheets>
  <definedNames/>
  <calcPr/>
</workbook>
</file>

<file path=xl/sharedStrings.xml><?xml version="1.0" encoding="utf-8"?>
<sst xmlns="http://schemas.openxmlformats.org/spreadsheetml/2006/main" count="3554" uniqueCount="910">
  <si>
    <t>Impresa o altro soggetto beneficiario</t>
  </si>
  <si>
    <t>Partita IVA o Codice Fiscale</t>
  </si>
  <si>
    <t>Importo in Euro</t>
  </si>
  <si>
    <t>Norma o titolo base dell'attribuzione</t>
  </si>
  <si>
    <t>Oggetto</t>
  </si>
  <si>
    <t>Ufficio</t>
  </si>
  <si>
    <t>Modalita' seguita per l'individuazione del beneficiario</t>
  </si>
  <si>
    <t>Allegato 1</t>
  </si>
  <si>
    <t>Allegato 2</t>
  </si>
  <si>
    <t>Comune di Carapelle Calvisio</t>
  </si>
  <si>
    <t>CF 00197710668</t>
  </si>
  <si>
    <t>EROGAZIONE FONDI PER LIQUIDAZIONE SAL FINALE A VALERE SULL'APPROVAZIONE DEL PROGETTO DEFINITIVO/ESECUTIVO E DELLA SPESA PER L'INTERVENTO DI RIPARAZIONE DEL CIMITERO DEL COMUNE DI CARAPELLE CALVISIO</t>
  </si>
  <si>
    <t>USRC</t>
  </si>
  <si>
    <t>CODFIN CIPE135a1c3</t>
  </si>
  <si>
    <t>Comune di Montebello di Bertona</t>
  </si>
  <si>
    <t>CF 80001270687</t>
  </si>
  <si>
    <t>EROGAZIONE FONDI CORRELATI AL II SAL RELATIVO AL PROGETTO DEFINITIVO/ESECUTIVO PER LAVORI DI RIPARAZIONE EDILIZIA CIMITERIALE COMUNE DI MONTEBELLO DI BERTONA</t>
  </si>
  <si>
    <t>Comune di Cugnoli</t>
  </si>
  <si>
    <t>CF 80003250687</t>
  </si>
  <si>
    <t>EROGAZIONE FONDI CORRELATI AL II SAL RELATIVO AL PROGETTO DEFINITIVO E DELLA SPESA PER L'INTERVENTO DI RIPARAZIONE DELL'EDIFICIO COMUNALE POLIVALENTE "PALAZZO TINOZZI" DEL COMUNE DI CUGNOLI (PE)</t>
  </si>
  <si>
    <t>Comune di Villa Santa Lucia degli Abruzzi</t>
  </si>
  <si>
    <t>CF 00193560661</t>
  </si>
  <si>
    <t>EROGAZIONE FONDI PER LIQUIDAZIONE I° SAL CORRELATA AL PROGETTO DEFINITIVO/ESECUTIVO PER INTERVENTO DI RIPARAZIONE MURO ADIACENTE DEPOSITO E MURO IN VIA RISORGIMENTO SITI NEL COMUNE DI VILLA SANTA LUCIA DEGLI ABRUZZI</t>
  </si>
  <si>
    <t>Comune di Capitignano</t>
  </si>
  <si>
    <t>CF 00164280661</t>
  </si>
  <si>
    <t>EROGAZIONE FONDI STATO FINALE E COMPETENZE PROFESSIONISTA INCARICATO RELATIVI ALL'INTERVENTO DI RIPARAZIONE DEI DANNI CONSEGUENTI AL SISMA DEL 06/04/2009 SUBITI DALL'EDIFICIO PUBBLICO CON FUNZIONE STRATEGICA SITO NEL COMUNE DI CAPITIGNANO</t>
  </si>
  <si>
    <t>Comune di Fano Adriano</t>
  </si>
  <si>
    <t>CF 92001400677</t>
  </si>
  <si>
    <t>EROGAZIONE FONDI A COPERTURA DEL I° SAL RELATIVO ALL'APPROVAZIONE PROGETTO DEFINITIVO RELATIVO ALL'INTERVENTO DI RESTAURO MURO MONUMENTALE ED OPERE ACCESSORIE IN CENTRO STORICO - FANO ADRIANO (TE)</t>
  </si>
  <si>
    <t>EROGAZIONE FONDI A TITOLO DI ACCONTO A VALERE SUL FINANZIAMENTO PROGRAMMATICO CORRELATO AL PROGETTO DEFINITIVO-ESECUTIVO DI LAVORI DI RIPARAZIONE DEL DANNO SISMICO E RAFFORZAMENTO DELLA SICUREZZA PREESISTENTE IN UN IMMOBILE DI EDILIZIA RESIDENZIALE PUBBLICA - COMUNE DI MONTEBELLO DI BERTONA (PE)</t>
  </si>
  <si>
    <t>CODFIN CIPE135a1c1</t>
  </si>
  <si>
    <t>Comune di Montereale</t>
  </si>
  <si>
    <t>CF 00096510664</t>
  </si>
  <si>
    <t>EROGAZIONE FONDI PER LIQUIDAZIONE SAL FINALE CORRELATO AL PROGETTO DEFINITIVO-ESECUTIVO DI LAVORI DI MESSA IN SICUREZZA DI FONTANE PUBBLICHE E MURA DI SOSTEGNO - MONTEREALE (AQ)</t>
  </si>
  <si>
    <t>Comune di San Demetrio Ne' Vestini</t>
  </si>
  <si>
    <t>CF 80002710665</t>
  </si>
  <si>
    <t>EROGAZIONE FONDI A FRONTE DI RENDICONTAZIONE SPESE PER INTERVENTI DI MANUTENZIONE STRAORDINARIA DEGLI ALLOGGI M.A.P. N. 19-38-39 IN LOCALITÀSUBEQUANA E N. 15 IN LOCALITÀSTIFFE - COMUNE DI SAN DEMETRIO NE' VESTINI (AQ)</t>
  </si>
  <si>
    <t>Comune di Barete</t>
  </si>
  <si>
    <t>CF 00148360662</t>
  </si>
  <si>
    <t>EROGAZIONE FONDI SALDO DELLE PRESTAZIONI TECNICHE DI SUPPORTO AL RUP PER ONERI RELATIVI AL PROGETTO ESECUTIVO DI RECUPERO DEL CIMITERO DELLE FRAZIONI DI BARETE (AQ)</t>
  </si>
  <si>
    <t>Comune di Cagnano Amiterno</t>
  </si>
  <si>
    <t>CF 80003670660</t>
  </si>
  <si>
    <t>EROGAZIONE FONDI PER REDAZIONE PIANO DI RICOSTRUZIONE</t>
  </si>
  <si>
    <t>Comune di Colledara</t>
  </si>
  <si>
    <t>CF 80004630671</t>
  </si>
  <si>
    <t>EROGAZIONE FONDI PER EROGAZIONE RIMBORSO DIRITTI ISTRUTTORI PER DEPOSITO EX GENIO CIVILE CONNESSI AL PROGETTO DEFINITIVO-ESECUTIVO RELATIVO AGLI INTERVENTI DI RECUPERO SCUOLA MATERNA DANNEGGIATA DAL SISMA DEL 06/04/2009 - COMUNE DI COLLEDARA (TE)</t>
  </si>
  <si>
    <t>Comune di Avezzano</t>
  </si>
  <si>
    <t>CF 81002910669</t>
  </si>
  <si>
    <t>EROGAZIONE CONTRIBUTO PER SPESE SOSTENUTE PER LA SISTEMAZIONE PROVVISORIA DEGLI STUDENTI DURANTE L'ESECUZIONE DEI LAVORI DI MESSA IN SICUREZZA DELL'EDIFICIO SCOLASTICO - COMUNE DI AVEZZANO - SCUOLA SECONDARIA DI PRIMO GRADO “A. VIVENZA”</t>
  </si>
  <si>
    <t>Provincia di Teramo</t>
  </si>
  <si>
    <t>CF 80001070673</t>
  </si>
  <si>
    <t>ACQUISIZIONE DOCUMENTAZIONE PER RENDICONTAZIONE I RATA E TRASFERIMENTO FONDI PER COPERTURA SECONDA RATA RELATIVA ALLA ATTUAZIONE DI INTERVENTI IN MATERIA DI EDILIZIA SCOLASTICA - PROVINCIA DI TERAMO I.T.C.P. "B. PASCAL" SITO IN VIA BAFILE. INTERVENTO INDIVIDUATO AL N. 141 DELL'ALLEGATO RIMODULATO APPROVATO CON DELIBERA N. 85/2013 (TE)</t>
  </si>
  <si>
    <t>CODFIN DISET48CIart10C1</t>
  </si>
  <si>
    <t>Comune di Anversa degli Abruzzi</t>
  </si>
  <si>
    <t>CF 00161690664</t>
  </si>
  <si>
    <t>ACQUISIZIONE RENDICONTAZIONE SPESE CORRELATE A PRIMA RATA E TRASFERIMENTO SECONDA RATA PER ATTUAZIONE INTERVENTI IN MATERIA DI EDILIZIA SCOLASTICA - SCUOLA ELEMENTARE. INTERVENTO INDIVIDUATO NELL'ALLEGATO AL D.C.D. N. 89/2011 COMUNE DI ANVERSA DEGLI ABRUZZI</t>
  </si>
  <si>
    <t>Comune di Castellalto</t>
  </si>
  <si>
    <t>CF 80004770675</t>
  </si>
  <si>
    <t>ACQUISIZIONE RENDICONTAZIONE E TRASFERIMENTO SAL FINALE PER ATTUAZIONE INTERVENTI IN MATERIA DI EDILIZIA SCOLASTICA - SCUOLA MEDIA "B. CROCE" - INTERVENTO INDIVIDUATO NELL'ALLEGATO AL DCD N. 89/2011 - COMUNE DI CASTELLALTO (TE)</t>
  </si>
  <si>
    <t>Comune di Popoli</t>
  </si>
  <si>
    <t>CF 00123600686</t>
  </si>
  <si>
    <t>EROGAZIONE FONDI A TITOLO DI ACCONTO PER SPESE TECNICHE ED INCENTIVO AL RUP CORRELATE AL FINANZIAMENTO PROGRAMMATICO RELATIVO AL PROGETTO DEFINITIVO ESECUTIVO PER LA MESSA IN SICUREZZA DI PARTE DELLA EX SEDE MUNICIPALE IN VIA SALITA DI COCCO, 10 - COMUNE DI POPOLI (PE)</t>
  </si>
  <si>
    <t>CODFIN CIPE135art1c1</t>
  </si>
  <si>
    <t>EROGAZIONE FONDI I SAL PER LAVORI DI MESSA IN SICUREZZA DEL CAMPANILE DELLA CHIESA DELLA MADONNA DEI RACCOMANDATI - COMUNE DI SAN DEMETRIO NE' VESTINI (AQ)</t>
  </si>
  <si>
    <t>Comune di Tossicia</t>
  </si>
  <si>
    <t>CF 80000370678</t>
  </si>
  <si>
    <t>EROGAZIONE FONDI FINALIZZATI ALLA COPERTURA ECONOMICA-FINANZIARIA DEL III SAL PER LAVORI DI RIPARAZIONE E RECUPERO STRUTTURALE DEI DANNI PROCURATI DAL SISMA DEL 6 APRILE 2009 SU PALAZZO MARCHESALE - EX SEDE MUNICIPALE - COMUNE DI TOSSICIA (TE)</t>
  </si>
  <si>
    <t>CODFIN CIPE135art1c3</t>
  </si>
  <si>
    <t>Comune di Bussi sul Tirino</t>
  </si>
  <si>
    <t>CF 00231710682</t>
  </si>
  <si>
    <t>EROGAZIONE FONDI PER SAL N. 1 (LIQUIDAZIONE PROFESSIONISTA INCARICATO) CORRELATO AL PROGETTO PER LE OPERE DI MESSA IN SICUREZZA DELLA CHIESA SAN BIAGIO, VIA DEL PROGRESSO GIÀ INAGIBILE DAL SISMA 2009, DANNEGGIATA DAGLI EVENTI ATMOSFERICI DEL 1 E 2 DICEMBRE 2013 - COMUNE DI BUSSI SUL TIRINO (PE)</t>
  </si>
  <si>
    <t>CODFINCIPE135art1c1</t>
  </si>
  <si>
    <t>Comune di Fontecchio</t>
  </si>
  <si>
    <t>CF 00189210669</t>
  </si>
  <si>
    <t>EROGAZIONE FONDI PER LAVORI PER OCCUPAZIONE AREE E LAVORI A FATTURA CONNESSI ALL'INTERVENTO DI RIVISITAZIONE PUNTELLAMENTO REALIZZATO NEI FABBRICATI IN VIA DIETRO LE CAMPANE - COMUNE DI FONTECCHIO (AQ)</t>
  </si>
  <si>
    <t>EROGAZIONE LIQUIDAZIONE SAL FINALE RELATIVO AGLI INTERVENTI DI RISTRUTTURAZIONE DELLA SEDE DEL COMUNE SITO IN PIAZZA GABRIELE D'ANNUNZIO N. 11 - COMUNE DI CARAPELLE CALVISIO</t>
  </si>
  <si>
    <t>EROGAZIONE FONDI PER LIQUIDAZIONE SPESE SOSTENUTE PER PROGETTAZIONE TECNICO INCARICATO DEL PROGETTO DEFINITIVO-ESECUTIVO RELATIVO ALL'INTERVENTO DI RIPARAZIONE DI UNO SPAZIO PUBBLICO ANNESSO ALLA SEDE MUNICIPALE - COMUNE DI FONTECCHIO (AQ)</t>
  </si>
  <si>
    <t>EROGAZIONE FONDI A TITOLO DI ACCONTO RELATIVO AL FINANZIAMENTO PROGRAMMATICO CORRELATO AL PROGETTO DEFINITIVO/ESECUTIVO DI LAVORI DI REALIZZAZIONE DI UN CENTRO POLIFUNZIONALE MEDIANTE RICONVERSIONE EX MATTATOIO - COMUNE DI MONTEBELLO DI BERTONA (PE)</t>
  </si>
  <si>
    <t>EROGAZIONE RISORSE FINALIZZATE ALLA RICOSTRUZIONE PRIVATA EX DELIBERA CIPE N. 135/2012, CIPE 23/2014 E CIPE 22/2015 - COMUNE DI SAN DEMETRIO NE' VESTINI (AQ)</t>
  </si>
  <si>
    <t>CODFIN CIPE135art1c2</t>
  </si>
  <si>
    <t>Comune di Carpineto della Nora</t>
  </si>
  <si>
    <t>CF 80001250689</t>
  </si>
  <si>
    <t>EROGAZIONE FONDI PER INTERVENTI DI RICOSTRUZIONE PRIVATA COMUNI "FUORI CRATERE" EX DELIBERA CIPE 22/2015 DEL 20/02/2015 (GU 140 DEL 19/06/2015) - COMUNE DI CARPINETO DELLA NORA (PE)</t>
  </si>
  <si>
    <t>CODFIN CIPE22art2c3</t>
  </si>
  <si>
    <t>APPROVAZIONE DEL PROGETTO E PRIMO TRASFERIMENTO FONDI PER ATTUAZIONE INTERVENTI IN MATERIA DI EDILIZIA SCOLASTICA - SCUOLA MATERNA DI PATERNO INTERVENTO INDIVIDUATO NELL'ALLEGATO AL D.C.D N. 89/2011 CUP J31E15000220005 - CIG 6331684EEA PROTOCOLLO NORMALIZZATO AQ-AVZ-OOPP-01648 PATERNO - AVEZZANO</t>
  </si>
  <si>
    <t>CODFIN DISET48CIART10C1</t>
  </si>
  <si>
    <t>Comune di Pereto</t>
  </si>
  <si>
    <t>PI 00181810664</t>
  </si>
  <si>
    <t>APPROVAZIONE DEL PROGETTO E PRIMO TRASFERIMENTO FONDI PER ATTUAZIONE INTERVENTI IN MATERIA DI EDILIZIA SCOLASTICA - COMUNE DI PERETO (AQ) SCUOLA MATERNA ED ELEMENTARE SALVO D'ACQUISTO-INTERVENTO INDIVIDUATO NELL'ALLEGATO AL DCD N. 89/2011 CUP I16D12000100006 - PROTOCOLLO NORMALIZZATO AQ-PRT-OOPP-01135 PERETO (AQ)</t>
  </si>
  <si>
    <t>Comune di Goriano Sicoli</t>
  </si>
  <si>
    <t>CF 00218000669</t>
  </si>
  <si>
    <t>EROGAZIONE RISORSE FINALIZZATE ALLA RICOSTRUZIONE PRIVATA EX DELIBERA CIPE N. 135/2012, CIPE 23/2014 E CIPE 22/2015 - COMUNE DI GORIANO SICOLI (AQ)</t>
  </si>
  <si>
    <t>Comune di Corvara</t>
  </si>
  <si>
    <t>CF 81001310689</t>
  </si>
  <si>
    <t>EROGAZIONE FONDI PER INTERVENTI DI RICOSTRUZIONE PRIVATA COMUNI " FUORI CRATERE" EX DELIBERA CIPE 22/2015 DEL 20/02/2015 (GU 140 DEL 19/06/2015) - COMUNE DI CORVARA (PE)</t>
  </si>
  <si>
    <t>Comune di Bolognano</t>
  </si>
  <si>
    <t>CF 00170370688</t>
  </si>
  <si>
    <t>EROGAZIONE FONDI PER INTERVENTI DI RICOSTRUZIONE PRIVATA COMUNI " FUORI CRATERE" EX DELIBERA CIPE 22/2015 DEL 20/02/2015 (GU 140 DEL 19/06/2015) - COMUNE DI BOLOGNANO (PE)</t>
  </si>
  <si>
    <t>Comune di Città Sant'Angelo</t>
  </si>
  <si>
    <t>CF 00063640684</t>
  </si>
  <si>
    <t>EROGAZIONE FONDI PER INTERVENTI DI RICOSTRUZIONE PRIVATA COMUNI " FUORI CRATERE" EX DELIBERA CIPE 22/2015 DEL 20/02/2015 (GU 140 DEL 19/06/2015) - COMUNE DI CITTÀ SANT'ANGELO (PE)</t>
  </si>
  <si>
    <t>Comune di Villa Celiera</t>
  </si>
  <si>
    <t>CF 00230080681</t>
  </si>
  <si>
    <t>EROGAZIONE FONDI PER INTERVENTI DI RICOSTRUZIONE PRIVATA COMUNI " FUORI CRATERE" EX DELIBERA CIPE 22/2015 DEL 20/02/2015 (GU 140 DEL 19/06/2015) - COMUNE DI VILLA CELIERA (PE)</t>
  </si>
  <si>
    <t>Comune di Cortino</t>
  </si>
  <si>
    <t>CF 80004350676</t>
  </si>
  <si>
    <t>EROGAZIONE FONDI PER INTERVENTI DI RICOSTRUZIONE PRIVATA COMUNI " FUORI CRATERE" EX DELIBERA CIPE 22/2015 DEL 20/02/2015 (GU 140 DEL 19/06/2015) - COMUNE DI CORTINO (TE)</t>
  </si>
  <si>
    <t>Comune di San Pio delle Camere</t>
  </si>
  <si>
    <t>CF 00197690662</t>
  </si>
  <si>
    <t>EROGAZIONE FONDI PER SALDO III-IV E COORDINAMENTO SICUREZZA IN ESECUZIONE PER CAMPAGNA INDAGINI GEOTECNICHE,GEOLOGICHE E GEOFISICHE LOTTI 1,3 E 4 PROPEDEUTICHE ALLA MESSA IN SICUREZZA DELLE CAVITÀ SOTTERRANEE DI CASTELNUOVO- COMUNE DI SAN PIO DELLE CAMERE (AQ)</t>
  </si>
  <si>
    <t>EROGAZIONE FONDI CORRELATI AL II SAL DI FONDI CONNESSI AL PROGETTO DEFINITIVO/ESECUTIVO PER INTERVENTO DI RIPARAZIONE DEI CIMITERI COMUNALI DI VILLA SANTA LUCIA DEGLI ABRUZZI (AQ)</t>
  </si>
  <si>
    <t>EROGAZIONE FONDI CORRELATI AL II SAL RELATIVO AL PROGETTO DEFINITIVO DI RIPARAZIONE E MIGLIORAMENTO SISMICO DELL'EDIFICIO EX OMNI SITO NEL COMUNE DI CUGNOLI (PE)</t>
  </si>
  <si>
    <t>Comune di Arsita</t>
  </si>
  <si>
    <t>CF 00139560676</t>
  </si>
  <si>
    <t>EROGAZIONE FONDI A TITOLO DI ACCONTO DEL FINANZIAMENTO APPROVATO PER PROGETTO DEFINITIVO-ESECUTIVO RELATIVO ALL'INTERVENTO DI RIPARAZIONE PARZIALE DEL CIMITERO COMUNALE - COMUNE DI ARSITA (TE)</t>
  </si>
  <si>
    <t>Comune di Rocca di Mezzo</t>
  </si>
  <si>
    <t>CF 80005730660</t>
  </si>
  <si>
    <t>LIQUIDAZIONE SPESE TECNICHE (RITENUTA D'ACCONTO) PER APPROVAZIONE PROGETTO DEFINITIVO-ESECUTIVO RELATIVO ALL'INTERVENTO DI RISANAMENTO POST-SISMA DELLA ZONA ARCHEOLOGICA DEL CASTELLO SITO NELLA FRAZIONE DI ROVERE DEL COMUNE DI ROCCA DI MEZZO (AQ)</t>
  </si>
  <si>
    <t>EROGAZIONE FONDI RELATIVI AL FINANZIAMENTO PROGRAMMATICO PER PROGETTO DEFINITIVO-ESECUTIVO DI RIPARAZIONE DEI DANNI CAUSATI DAGLI EVENTI SISMICI DELL'APRILE 2009- RIPARAZIONE EDIFICIO ADIBITO AD E.R.P.- COMUNE DI ARSITA (TE)</t>
  </si>
  <si>
    <t>Comune di Pizzoli</t>
  </si>
  <si>
    <t>CF 80007080668</t>
  </si>
  <si>
    <t>EROGAZIONE FONDI SAL FINALE PER INTERVENTI DI URGENZA SULLE COPERTURE COMPLESSO INSEDIATIVO MAP DEL COMUNE DI PIZZOLI DENOMINATO BORGO CAMPO SAN GIOVANNI - LOTTO II - COMUNE DI PIZZOLI (AQ)</t>
  </si>
  <si>
    <t>EROGAZIONE FONDI SAL FINALE RELATIVO AL PROGETTO PRELIMINARE/DEFINITIVO CONCERNENTE L'INTERVENTO DI RISTRUTTURAZIONE DI OPERE EDILIZIA CIMITERIALI DI TERMINE DI CAGNANO UBICATE NEL COMUNE DI CAGNANO AMITERNO (AQ)</t>
  </si>
  <si>
    <t>Comune di Castelli</t>
  </si>
  <si>
    <t>CF 00179510672</t>
  </si>
  <si>
    <t>EROGAZIONE FONDI CORRELATI AL PROGETTO DEFINITIVO-ESECUTIVO RELATIVO ALL'INTERVENTO DI SISTEMAZIONE DEL CIMITERO DI CASTELLI (TE)</t>
  </si>
  <si>
    <t>Comune di Bugnara</t>
  </si>
  <si>
    <t>CF 00190300665</t>
  </si>
  <si>
    <t>EROGAZIONE A TITOLO DI ACCONTO A VALERE SULL'APPROVAZIONE DEL FINANZIAMENTO PROGRAMMATICO CORRELATO AL PROGETTO DEFINITIVO RELATIVO ALL'INTERVENTO DI RECUPERO DI PALAZZO ALESI - COMUNE DI BUGNARA (AQ)</t>
  </si>
  <si>
    <t>EROGAZIONE FONDI I SAL RELATIVO ALL'INTERVENTO DI MESSA IN SICUREZZA DEL MURO CONTRO-TERRA DI RECINZIONE DEL MAP LOTTO SAN PIO-SAN PIO DELLE CAMERE (AQ)</t>
  </si>
  <si>
    <t>EROGAZIONE PRIMO SAL, SAL FINALE, C.R.E. E ACQUISIZIONE PERIZIA DI VARIANTE PER LAVORI DI MESSA IN SICUREZZA DI ARCO IN VIA ARISTA IN LOCALITÀ COLLARANO, DI INTERVENTI DEFINITIVI E DEMOLIZIONE PARZIALE DI UN FABBRICATO IN VIA VICOLO STORTO A VILLA SAN GIOVANNI - COMUNE DI SAN DEMETRIO NE' VESTINI (AQ)</t>
  </si>
  <si>
    <t>Comune di Civitella Casanova</t>
  </si>
  <si>
    <t>CF 00228640686</t>
  </si>
  <si>
    <t>EROGAZIONE FONDI ATTI ALLA LIQUIDAZIONE DEL IV SAL RELATIVI AL PROGETTO DEFINITIVO/ESECUTIVO RELATIVO ALL'INTERVENTO DI RIPARAZIONE CON MIGLIORAMENTO SISMICO DI OPERE EDILIZIA CIMITERIALI UBICATE NEL COMUNE DI CIVITELLA CASANOVA (PE)</t>
  </si>
  <si>
    <t>TRASFERIMENTO FINALE FONDI PER ATTUAZIONE INTERVENTI IN MATERIA DI EDILIZIA SCOLASTICA - COMUNE DI CUGNOLI (PE) PROGETTO PER LA DEMOLIZIONE DELLA SCUOLA DELL'INFANZIA E PRIMARIA E DELLA SCUOLA SECONDARIA DI I° INDICATO AL N. 110 DELL'ALLEGATO AL D.C.D. N. 89/2011 CUP C94BB13000260001 - CIG 6056806A6B PROTOCOLLO NORMALIZZATO PE-CUG-OOPP-01049</t>
  </si>
  <si>
    <t>Comune di Acciano</t>
  </si>
  <si>
    <t>CF 83003750664</t>
  </si>
  <si>
    <t>CONTRIBUTO AUTONOMA SISTEMAZIONE (NOVEMBRE-DICEMBRE 2015 E GENNAIO 2016)</t>
  </si>
  <si>
    <t>CONTRIBUTO AUTONOMA SISTEMAZIONE (APRILE 2009 - GIUGNO 2010 E APRILE - DICEMBRE 2015)</t>
  </si>
  <si>
    <t>Comune di Capestrano</t>
  </si>
  <si>
    <t>CF 00199980665</t>
  </si>
  <si>
    <t>CONTRIBUTO AUTONOMA SISTEMAZIONE (OTTOBRE 2012-FEBBRAIO 2016)</t>
  </si>
  <si>
    <t>Comune di Castel del Monte</t>
  </si>
  <si>
    <t>CF 80002030668</t>
  </si>
  <si>
    <t>CONTRIBUTO AUTONOMA SISTEMAZIONE (OTTOBRE-DICEMBRE 2015)</t>
  </si>
  <si>
    <t>CONTRIBUTO AUTONOMA SISTEMAZIONE (DICEMBRE 2015 - FEBBRAIO 2016)</t>
  </si>
  <si>
    <t>CONTRIBUTO AUTONOMA SISTEMAZIONE (GENNAIO - OTTOBRE 2015)</t>
  </si>
  <si>
    <t>CONTRIBUTO AUTONOMA SISTEMAZIONE (LUGLIO-DICEMBRE 2015 )</t>
  </si>
  <si>
    <t>Comune di Montorio al Vomano</t>
  </si>
  <si>
    <t>CF 80002070672</t>
  </si>
  <si>
    <t>CONTRIBUTO AUTONOMA SISTEMAZIONE (DICEMBRE 2015-FEBBRAIO 2016)</t>
  </si>
  <si>
    <t>Comune di Ocre</t>
  </si>
  <si>
    <t>CF 80002850669</t>
  </si>
  <si>
    <t>CONTRIBUTO AUTONOMA SISTEMAZIONE (GENNAIO-GIUGNO 2015 )</t>
  </si>
  <si>
    <t>Comune di Ofena</t>
  </si>
  <si>
    <t>CF 80004410660</t>
  </si>
  <si>
    <t>CONTRIBUTO AUTONOMA SISTEMAZIONE (NOVEMBRE 2015 -FEBBRAIO 2016)</t>
  </si>
  <si>
    <t>CONTRIBUTO AUTONOMA SISTEMAZIONE (NOVEMBRE 2015 -GENNAIO 2016)</t>
  </si>
  <si>
    <t>Comune di Tornimparte</t>
  </si>
  <si>
    <t>CF 00190240663</t>
  </si>
  <si>
    <t>CONTRIBUTO AUTONOMA SISTEMAZIONE (SETTEMBRE 2010-GENNAIO 2012)</t>
  </si>
  <si>
    <t>Comune di Torre de' Passeri</t>
  </si>
  <si>
    <t>CF 00192970689</t>
  </si>
  <si>
    <t>CONTRIBUTO AUTONOMA SISTEMAZIONE (NOVEMBRE-DICEMBRE 2015)</t>
  </si>
  <si>
    <t>CONTRIBUTO AUTONOMA SISTEMAZIONE (SETTEMBRE - DICEMBRE 2015)</t>
  </si>
  <si>
    <t>Comune di Atri</t>
  </si>
  <si>
    <t>CF 00076610674</t>
  </si>
  <si>
    <t>CONTRIBUTO AUTONOMA SISTEMAZIONE (MAGGIO 2013 - DICEMBRE 2015)</t>
  </si>
  <si>
    <t>Comune di Basciano</t>
  </si>
  <si>
    <t>CF 80002910679</t>
  </si>
  <si>
    <t>CONTRIBUTO AUTONOMA SISTEMAZIONE (GENNAIO-DICEMBRE 2015)</t>
  </si>
  <si>
    <t>Comune di Bisenti</t>
  </si>
  <si>
    <t>CF 00195310677</t>
  </si>
  <si>
    <t>CONTRIBUTO AUTONOMA SISTEMAZIONE (SETTEMBRE-DICEMBRE 2015)</t>
  </si>
  <si>
    <t>Comune di Castiglione a Casauria</t>
  </si>
  <si>
    <t>CF 81000190686</t>
  </si>
  <si>
    <t>CONTRIBUTO AUTONOMA SISTEMAZIONE (DICEMBRE 2015 - GENNAIO 2016)</t>
  </si>
  <si>
    <t>Comune di Celano</t>
  </si>
  <si>
    <t>CF 00094090669</t>
  </si>
  <si>
    <t>CONTRIBUTO AUTONOMA SISTEMAZIONE (SETTEMBRE 2014 - APRILE 2015)</t>
  </si>
  <si>
    <t>Comune di Manoppello</t>
  </si>
  <si>
    <t>CF 81000530683</t>
  </si>
  <si>
    <t>CONTRIBUTO AUTONOMA SISTEMAZIONE (FEBBRAIO-NOVEMBRE 2015)</t>
  </si>
  <si>
    <t>Comune di Penne</t>
  </si>
  <si>
    <t>CF 00224710681</t>
  </si>
  <si>
    <t>CONTRIBUTO AUTONOMA SISTEMAZIONE (SETTEMBRE 2015-GENNAIO 2016)</t>
  </si>
  <si>
    <t>Comune di Pietranico</t>
  </si>
  <si>
    <t>CF 00221280688</t>
  </si>
  <si>
    <t>CONTRIBUTO AUTONOMA SISTEMAZIONE (DICEMBRE 2015-GENNAIO 2016)</t>
  </si>
  <si>
    <t>Comune di Sulmona</t>
  </si>
  <si>
    <t>CF 00181820663</t>
  </si>
  <si>
    <t>CONTRIBUTO AUTONOMA SISTEMAZIONE (SETTEMBRE -DICEMBRE 2015)</t>
  </si>
  <si>
    <t>Comune di Tocco da Casauria</t>
  </si>
  <si>
    <t>CF 00231830688</t>
  </si>
  <si>
    <t>CONTRIBUTO AUTONOMA SISTEMAZIONE (GENNAIO -DICEMBRE 2015)</t>
  </si>
  <si>
    <t>Comune di Torricella Sicura</t>
  </si>
  <si>
    <t>CF 80003050673</t>
  </si>
  <si>
    <t>Comune di Valle Castellana</t>
  </si>
  <si>
    <t>CF 80006060679</t>
  </si>
  <si>
    <t>CONTRIBUTO AUTONOMA SISTEMAZIONE (SETTEMBRE 2015 -GENNAIO 2016)</t>
  </si>
  <si>
    <t>RENDICONTAZIONE CO.CO.CO. (APRILE 2012)</t>
  </si>
  <si>
    <t>CODFIN CIPE135a1c6</t>
  </si>
  <si>
    <t>RENDICONTAZIONE CO.CO.CO. (SETTEMBRE-DICEMBRE 2014)</t>
  </si>
  <si>
    <t>RENDICONTAZIONE CO.CO.CO. (GENNAIO-DICEMBRE 2014)</t>
  </si>
  <si>
    <t>RENDICONTAZIONE CO.CO.CO. (AGOSTO-DICEMBRE 2014)</t>
  </si>
  <si>
    <t>Comune di Prata d'Ansidonia</t>
  </si>
  <si>
    <t>CF 00195150669</t>
  </si>
  <si>
    <t>RENDICONTAZIONE CO.CO.CO. (LUGLIO-DICEMBRE 2015)</t>
  </si>
  <si>
    <t>RENDICONTAZIONE CO.CO.CO. (GENNAIO-DICEMBRE 2015)</t>
  </si>
  <si>
    <t>Comune di Caporciano</t>
  </si>
  <si>
    <t>CF 00187590666</t>
  </si>
  <si>
    <t>Comune di Castel di Ieri</t>
  </si>
  <si>
    <t>CF 00235390663</t>
  </si>
  <si>
    <t>Comune d Castelvecchio Subequo</t>
  </si>
  <si>
    <t>CF 00208410662</t>
  </si>
  <si>
    <t>RENDICONTAZIONE CO.CO.CO. (GIUGNO-DICEMBRE 2015)</t>
  </si>
  <si>
    <t>Comune di Cocullo</t>
  </si>
  <si>
    <t>CF 00218020667</t>
  </si>
  <si>
    <t>Comune di Collarmele</t>
  </si>
  <si>
    <t>CF 00212670665</t>
  </si>
  <si>
    <t>RENDICONTAZIONE CO.CO.CO. (NOVEMBRE-DICEMBRE 2015)</t>
  </si>
  <si>
    <t>RENDICONTAZIONE CO.CO.CO. (OTTOBRE-DICEMBRE 2015)</t>
  </si>
  <si>
    <t>Comune di Fagnano Alto</t>
  </si>
  <si>
    <t>CF 00193030665</t>
  </si>
  <si>
    <t>RENDICONTAZIONE CO.CO.CO. (SETTEMBRE -DICEMBRE 2015)</t>
  </si>
  <si>
    <t>RENDICONTAZIONE CO.CO.CO. (GENNAIO -DICEMBRE 2015)</t>
  </si>
  <si>
    <t>Comune di Fossa</t>
  </si>
  <si>
    <t>CF 80001770660</t>
  </si>
  <si>
    <t>RENDICONTAZIONE CO.CO.CO. (GENNAIO- DICEMBRE 2015)</t>
  </si>
  <si>
    <t>RENDICONTAZIONE CO.CO.CO. (OTTOBRE-NOVEMBRE 2015)</t>
  </si>
  <si>
    <t>Comune di Santo Stefano di Sessanio</t>
  </si>
  <si>
    <t>CF 00173470667</t>
  </si>
  <si>
    <t>RENDICONTAZIONE CO.CO.CO. (GENNAIO-GIUGNO 2015)</t>
  </si>
  <si>
    <t>LOCAZIONE TEMPORANEA ALLOGGI (GENNAIO - DICEMBRE 2015)</t>
  </si>
  <si>
    <t>LOCAZIONE TEMPORANEA ALLOGGI (OTTOBRE 2015 - FEBBRAIO 2016)</t>
  </si>
  <si>
    <t>Comune di Ovindoli</t>
  </si>
  <si>
    <t>CF 00097320667</t>
  </si>
  <si>
    <t>LOCAZIONE TEMPORANEA ALLOGGI (DICEMBRE 2015 - GENNAIO 2016)</t>
  </si>
  <si>
    <t>LOCAZIONE TEMPORANEA ALLOGGI (GIUGNO-OTTOBRE 2015)</t>
  </si>
  <si>
    <t>LOCAZIONE TEMPORANEA ALLOGGI (OTTOBRE-DICEMBRE 2015)</t>
  </si>
  <si>
    <t>RENDICONTAZIONE TRASLOCO E DEPOSITO TEMPORANEO DEL MOBILIO (DICEMBRE 2015)</t>
  </si>
  <si>
    <t>Comune di Barisciano</t>
  </si>
  <si>
    <t>CF 00195850664</t>
  </si>
  <si>
    <t>RENDICONTAZIONE TRASLOCO E DEPOSITO TEMPORANEO DEL MOBILIO (LUGLIO-AGOSTO-SETTEMBRE 2015)</t>
  </si>
  <si>
    <t>RENDICONTAZIONE TRASLOCO E DEPOSITO TEMPORANEO DEL MOBILIO (NOVEMBRE - DICEMBRE 2015)</t>
  </si>
  <si>
    <t>RENDICONTAZIONE TRASLOCO E DEPOSITO TEMPORANEO DEL MOBILIO (GIUGNO 2015)</t>
  </si>
  <si>
    <t>RENDICONTAZIONE TRASLOCO E DEPOSITO TEMPORANEO DEL MOBILIO (SETTEMBRE 2015)</t>
  </si>
  <si>
    <t>RENDICONTAZIONE TRASLOCO E DEPOSITO TEMPORANEO DEL MOBILIO (OTTOBRE-NOVEMBRE 2015)</t>
  </si>
  <si>
    <t>RENDICONTAZIONE TRASLOCO E DEPOSITO TEMPORANEO DEL MOBILIO (MAGGIO 2015, LUGLIO 2015)</t>
  </si>
  <si>
    <t>RENDICONTAZIONE TRASLOCO E DEPOSITO TEMPORANEO DEL MOBILIO (OTTOBRE 2015)</t>
  </si>
  <si>
    <t>RENDICONTAZIONE TRASLOCO E DEPOSITO TEMPORANEO DEL MOBILIO (SETTEMBRE-OTTOBRE 2015)</t>
  </si>
  <si>
    <t>PRESTAZIONI OCCASIONALI RELATIVE ALL'ISTRUTTORIA DELLE PRATICHE DI RICOSTRUZIONE DEI COMUNI FUORI CRATERE INDIRIZZATE VERSO GLI U.T.R. (LUGLIO-DICEMBRE 2015)</t>
  </si>
  <si>
    <t>PRESTAZIONI OCCASIONALI RELATIVE ALL'ISTRUTTORIA DELLE PRATICHE DI RICOSTRUZIONE DEI COMUNI FUORI CRATERE INDIRIZZATE VERSO GLI U.T.R. (OTTOBRE -DICEMBRE 2015)</t>
  </si>
  <si>
    <t>TRASFERIMENTO FINALE FONDI PER ATTUAZIONE INTERVENTI IN MATERIA DI EDILIZIA SCOLASTICA - COMUNE DI COLLARMELE (AQ) PROGETTO PER LA RISTRUTTURAZIONE ED ADEGUAMENTO A SCUOLA MATERNA DI PARTE DELL'EDIFICIO SCOLASTICO SCUOLA ELEMENTARE IN VIA NAZIONALE INDICATO AL N. 30 DELL'ALLEGATO AL D.C.D. N. 89/2011 CUP C81E15000160005 - CIG Z045159E431 PROTOCOLLO NORMALIZZATO AQ-COL-OOPP-01699</t>
  </si>
  <si>
    <t>EROGAZIONE FONDI I SAL CORRELATI AL PROGETTO DEFINITIVO/ESECUTIVO PER INTERVENTO DI RIPARAZIONE DANNI E MIGLIORAMENTO SISMICO DEL CIMITERO DI SAN PIO DELLE CAMERE (AQ)</t>
  </si>
  <si>
    <t>EROGAZIONE FONDI A FAVORE DEL COMUNE DI SAN PIO DELLE CAMERE-FRAZIONE CASTELNUOVO OPERE DI TRASPORTO E SMALTIMENTO A DISCARICA DEI RIFIUTI DI ALTRE CATEGORIE DIVERSE DA QUELLE DI CUI AL CODICE CER 17.09.04</t>
  </si>
  <si>
    <t>CODFIN DISET48CIIa1c2</t>
  </si>
  <si>
    <t>Comune di Mosciano Sant'Angelo</t>
  </si>
  <si>
    <t>CF 82000070670</t>
  </si>
  <si>
    <t>ASSEGNAZIONE FONDI ED EROGAZIONE FONDI PER INTERVENTI DI RICOSTRUZIONE PRIVATA COMUNI"FUORI CRATERE" EX DELIBERA CIPE 22/2015 DEL 20/02/2015 (GU 140 DEL 19/06/2015)-COMUNE DI MOSCIANO SANT'ANGELO</t>
  </si>
  <si>
    <t>EROGAZIONE SPESE TECNICHE- COMPENSO INCENTIVANTE RELATIVO AL PROGETTO DEFINITIVO/ESECUTIVO DI LAVORI DI MIGLIORAMENTO SISMICO ALA NORD DEL COMPLESSO SCOLASTICO DI P.ZZA G.PAOLINI DA ADIBIRE A SEDE DEL MUNICIPIO DEL COMUNE DI POPOLI (PE)</t>
  </si>
  <si>
    <t>LIQUIDAZIONE FINALE I STRALCIO RELATIVO AD INTERVENTI URGENTI DI MESSA IN SICUREZZA DI CAVITÀ ESISTENTI IN VIA OSTERIA - COMUNE DI FOSSA (AQ)</t>
  </si>
  <si>
    <t>Comune di Castilenti</t>
  </si>
  <si>
    <t>CF 81000270678</t>
  </si>
  <si>
    <t>EROGAZIONE FONDI PER INTERVENTI DI RICOSTRUZIONE PRIVATA COMUNI " FUORI CRATERE" EX DELIBERA CIPE 22/2015 DEL 20/02/2015 (GU 140 DEL 19/06/2015) - COMUNE DI CASTILENTI (TE)</t>
  </si>
  <si>
    <t>ERRATA CORRIGE DELLA DETERMINA USRC N.42 DEL 17/03/2016:"ACQUISIZIONE RENDICONTAZIONE E SECONDO TRASFERIMENTO FONDI PER ATTUAZIONE INTERVENTI IN MATERIA DI EDILIZIA SCOLASTICA - SCUOLA MATERNA DI PATERNO INTERVENTO INDIVIDUATO NELL'ALLEGATO AL D.C.D N. 89/2011 CUP J31E15000220005 - CIG 6331684EEA PROTOCOLLO NORMALIZZATO AQ-AVZ-OOPP-01648 PATERNO - AVEZZANO"</t>
  </si>
  <si>
    <t>Comune di Scafa</t>
  </si>
  <si>
    <t>CF 81000070680</t>
  </si>
  <si>
    <t>PRIMO TRASFERIMENTO FONDI PER ATTUAZIONE INTERVENTI IN MATERIA DI EDILIZIA SCOLASTICA. COMUNE DI SCAFA (PE). SCUOLE DELL'INFANZIA "VIA DELLA RINASCITA" - "FRAZIONE DECONTRA". INTERVENTI INDIVIDUATI NELL'ALLEGATO AL D.C.D. N. 89/2011. CUP D41E14000700001 - PROTOCOLLO NORMALIZZATO PE-SCF-OOPP-01636</t>
  </si>
  <si>
    <t>Comune di Pietracamela</t>
  </si>
  <si>
    <t>CF 80005250677</t>
  </si>
  <si>
    <t>Provincia di Pescara</t>
  </si>
  <si>
    <t>CF 00212850689</t>
  </si>
  <si>
    <t>PRIMO TRASFERIMENTO FONDI PER ATTUAZIONE INTERVENTI IN MATERIA DI EDILIZIA SCOLASTICA LICEO ARTISTICO "MARIO DEI FIORI"- PENNE- INTERVENTO INDIVIDUATO AL N. 138 NELL'ALLEGATO AL D.C.D. N.89/2011 CUP C11E13000260005-PROTOCOLLO NORMALIZZATO PE-PROVPE-OOPP-00072- PROVINCIA DI PESCARA</t>
  </si>
  <si>
    <t>CODFIN DISET48CIart10c1</t>
  </si>
  <si>
    <t>Comune di Molina Aterno</t>
  </si>
  <si>
    <t>CF 00216470666</t>
  </si>
  <si>
    <t>EROGAZIONE FONDI PER INTERVENTI DI RICOSTRUZIONE PRIVATA COMUNI "FUORI CRATERE" EX DELIBERA CIPE 22/2015 DEL 20/02/2015 (GU 140 DEL 19/06/2015) - COMUNE DI MOLINA ATERNO (AQ)</t>
  </si>
  <si>
    <t>EROGAZIONE FONDI PER LIQUIDAZIONE DELLE SPESE SOSTENUTE PER LE ANTICIPAZIONI SUI LAVORI E SULLE PRESTAZIONI DI SUPPORTO AL RUP E DI INCENTIVO AL RUP CORRELATI AL PROGETTO DEFINITIVO-ESECUTIVO RELATIVO ALL'INTERVENTO DI ADEGUAMENTO STRUTTURALE E RISTRUTTURAZIONE DELLA CASA COMUNALE-COMUNE DI CIVITELLA CASANOVA (PE)</t>
  </si>
  <si>
    <t>EROGAZIONE FONDI PER INTERVENTI DI MANUTENZIONE STRAORDINARIA DA ESEGUIRE PRESSO I MAP DELLA FRAZIONE DI CASTELNUOVO N.62-68-72-73 E 51-61-74. COMUNE DI SAN PIO DELLE CAMERE (AQ)</t>
  </si>
  <si>
    <t>EROGAZIONE FONDI CORRELATI A LAVORI E SPESE TECNICHE RELATIVI AL PROGETTO DEFINITIVO/ESECUTIVO RELATIVO ALL'INTERVENTO DI MANUTENZIONE STRAORDINARIA MAP LOTTO III - COMUNE DI SAN PIO DELLE CAMERE (AQ)</t>
  </si>
  <si>
    <t>EROGAZIONE FONDI MANUTENZIONE STRAORDINARIA MAP - LOTTO I - COMUNE DI PIZZOLI</t>
  </si>
  <si>
    <t>EROGAZIONE FONDI INTERVENTI IN SOMMA URGENZA SUI MAP 93 E 297 - COMUNE DI PIZZOLI</t>
  </si>
  <si>
    <t>EROGAZIONE FONDI CORRELATI AL III SAL DI FONDI CONNESSI AL PROGETTO DEFINITIVO/ESECUTIVO PER INTERVENTO DI RIPARAZIONE DEI CIMITERI COMUNALI DI VILLA SANTA LUCIA DEGLI ABRUZZI (AQ)</t>
  </si>
  <si>
    <t>Comune di Scanno</t>
  </si>
  <si>
    <t>CF 00086720661</t>
  </si>
  <si>
    <t>ASSEGNAZIONE FONDI ED EROGAZIONE FONDI PER INTERVENTI DI RICOSTRUZIONE PRIVATA COMUNI "FUORI CRATERE" EX DELIBERA CIPE 22/2015 DEL 20/02/2015 (GU 140 DEL 19/06/2015) - COMUNE DI SCANNO (AQ)</t>
  </si>
  <si>
    <t>LIQUIDAZIONE II ACCONTO SPESE TECNICHE PER LAVORI DI RIPARAZIONE E RECUPERO STRUTTURALE DEI DANNI PROCURATI DAL SISMA DEL 06 APRILE 2009 SU PALAZZO MARCHESALE - EX SEDE MUNICIPALE- COMUNE DI TOSSICIA (TE)</t>
  </si>
  <si>
    <t>EROGAZIONE FONDI I ACCONTO S2R A COPERTURA DELLE SPESE RELATIVE ALLE PROVE GEOLOGICHE E GEOFISICHE ED ALLA PROGETTAZIONE PRELIMINARE DELLE OPERE DI MESSA IN SICUREZZA DEI "GROTTONI" RINVENUTI NEL SOTTOSUOLO DI CASTELNUOVO DI SAN PIO DELLE CAMERE (AQ)</t>
  </si>
  <si>
    <t>Comune di Lucoli</t>
  </si>
  <si>
    <t>CF 00094420668</t>
  </si>
  <si>
    <t>EROGAZIONE RISORSE FINALIZZATE ALLA RICOSTRUZIONE PRIVATA EX DELIBERA CIPE 23/2014 - COMUNE DI LUCOLI (AQ)</t>
  </si>
  <si>
    <t>Comune di Raiano</t>
  </si>
  <si>
    <t>CF 00219510666</t>
  </si>
  <si>
    <t>SECONDO TRASFERIMENTO FONDI PER ATTUAZIONE INTERVENTI IN MATERIA DI EDILIZIA SCOLASTICA - NUOVA COSTRUZIONE DI UN COMPLESSO SCOLASTICO DESTINATO AD OSPITARE LA SCUOLA PRIMARIA E SECONDARIA DI PRIMO GRADO ED UNA PALESTRA AD USO COMUNE. INTERVENTO INDIVIDUATO AL N. 53 DELL'ALLEGATO AL D.C.D. N. 89/2011, E AL N. 46 DELL'ALLEGATO RIMODULATO APPROVATO CON DELIBERA N. 85/2013. CUP: I29H1100040000, CIG: 60723559DC, PROTOCOLLO NORMALIZZATO: AQ-RAN-OOPP-01270-COMUNE DI RAIANO (AQ)</t>
  </si>
  <si>
    <t>EROGAZIONE FONDI FINALIZZATI ALLA LIQUIDAZIONE DEI LAVORI DI ASSISTENZA ARCHEOLOGICA LAVORI RINVENIMENTI ARCHEOLOGICI C/O CANTIERE SITO IN VIA PETROCCO - FOSSA (AQ). COMMITTENTE: "CONSORZIO MANCINOTTI". PROGETTO DI DEMOLIZIONE E RICOSTRUZIONE DELLA'AGGREGATO EDILIZIO DENOMINATO "CONSORZIO MANCINOTTI" DANNEGGIATO DAL SISMA DEL 6 APRILE 2009. AGGREGATO STRUTTURALE N. 4400118 - AGGREGATO ESTERNO ALLA PERIMETRAZIONE N. 66. RIF. CATASTALI: FG. 7 PARTICELLA N. 152. CUP: H53G14000080001. COMMITTENTE SIG. FABIO MANCINOTTI (PRESIDENTE AGGREGATO); PROGETTI E D.L. ARCH. ROBERTA BOCCABELLA; DIREZIONE LAVORI STRUTTURALI E D.L. DAL 22/07/2015 ING. PAOLO PELLICCIONE - COMUNE DI FOSSA (AQ).</t>
  </si>
  <si>
    <t>Comune di Villalago</t>
  </si>
  <si>
    <t>PI 00215010661</t>
  </si>
  <si>
    <t>ASSEGNAZIONE FONDI ED EROGAZIONE FONDI PER INTERVENTI DI RICOSTRUZIONE PRIVATA COMUNI "FUORI CRATERE" EX DELIBERA CIPE 22/2015 DEL 20/02/2015 (GU 140 DEL 19/06/2015) - COMUNE DI VILLALAGO (AQ)</t>
  </si>
  <si>
    <t>Comune di Rosciano</t>
  </si>
  <si>
    <t>CF 00223210683</t>
  </si>
  <si>
    <t>TRASFERIMENTO FONDI SECONDA RATA PER ATTUAZIONE INTERVENTI IN MATERIA DI EDILIZIA SCOLASTICA "PALESTRA ANNESSA ALLA SCUOLA MEDIA" - INTERVENTO INDICATO AL N. 127 DELL'ALLEGATO AL D.C.D. N. 89/2011 CUP G91H13001500001 - CIG 6381257BDA PROTOCOLLO NORMALIZZATO PE-RSC-OOPP-01541 - LAVORI DI MESSA IN SICUREZZA PALESTRA SCUOLA MEDIA ROSCIANO - COMUNE DI ROSCIANO (PE)</t>
  </si>
  <si>
    <t>PRIMO TRASFERIMENTO FONDI PER ATTUAZIONE INTERVENTI IN MATERIA DI EDILIZIA SCOLASTICA. COMUNE DI AVEZZANO (AQ). ISTITUTO COMPRENSIVO VIA PUGLIE CUP J37B15000230001 - PROTOCOLLO NORMALIZZATO AQ-AVZ-OOPP-01690</t>
  </si>
  <si>
    <t>CONTRIBUTO AUTONOMA SISTEMAZIONE (FEBBRAIO 2016)</t>
  </si>
  <si>
    <t>Comune di Castelvecchio Calvisio</t>
  </si>
  <si>
    <t>CF 00197730666</t>
  </si>
  <si>
    <t>CONTRIBUTO AUTONOMA SISTEMAZIONE (MARZO - GIUGNO 2015)</t>
  </si>
  <si>
    <t>CONTRIBUTO AUTONOMA SISTEMAZIONE (MARZO 2016)</t>
  </si>
  <si>
    <t>CONTRIBUTO AUTONOMA SISTEMAZIONE (OTTOBRE- DICEMBRE 2015)</t>
  </si>
  <si>
    <t>CONTRIBUTO AUTONOMA SISTEMAZIONE (GENNAIO - FEBBRAIO 2016)</t>
  </si>
  <si>
    <t>Comune di Scoppito</t>
  </si>
  <si>
    <t>CF 00183860667</t>
  </si>
  <si>
    <t>CONTRIBUTO AUTONOMA SISTEMAZIONE (GENNAIO - DICEMBRE 2015)</t>
  </si>
  <si>
    <t>Comune di Loreto Aprutino</t>
  </si>
  <si>
    <t>CF 00127900686</t>
  </si>
  <si>
    <t>CONTRIBUTO AUTONOMA SISTEMAZIONE (NOVEMBRE- DICEMBRE 2015; GENNAIO-FEBBRAIO 2016)</t>
  </si>
  <si>
    <t>CONTRIBUTO AUTONOMA SISTEMAZIONE (FEBBRAIO - NOVEMBRE 2015)</t>
  </si>
  <si>
    <t>PRESTAZIONI OCCASIONALI RELATIVE ALL'ISTRUTTORIA DELLE PRATICHE DI RICOSTRUZIONE DEI COMUNI FUORI CRATERE INDIRIZZATE VERSO GLI U.T.R. (APRILE - DICEMBRE 2015)</t>
  </si>
  <si>
    <t>RENDICONTAZIONE TRASLOCO E DEPOSITO TEMPORANEO DEL MOBILIO (FEBBRAIO 2014 - OTTOBRE 2014 - OTTOBRE 2015)</t>
  </si>
  <si>
    <t>RENDICONTAZIONE TRASLOCO E DEPOSITO TEMPORANEO DEL MOBILIO (FEBBRAIO 2015)</t>
  </si>
  <si>
    <t>RENDICONTAZIONE TRASLOCO E DEPOSITO TEMPORANEO DEL MOBILIO (SETTEMBRE 2012- DICEMBRE 2014)</t>
  </si>
  <si>
    <t>RENDICONTAZIONE CO.CO.CO. (LUGLIO - DICEMBRE 2014)</t>
  </si>
  <si>
    <t>CODFIN CIPE22a6c2</t>
  </si>
  <si>
    <t>Comune di Brittoli</t>
  </si>
  <si>
    <t>CF 80001450685</t>
  </si>
  <si>
    <t>RENDICONTAZIONE CO.CO.CO. (NOVEMBRE - DICEMBRE 2015)</t>
  </si>
  <si>
    <t>RENDICONTAZIONE CO.CO.CO. (DICEMBRE 2015)</t>
  </si>
  <si>
    <t>Comune di Tione degli Abruzzi</t>
  </si>
  <si>
    <t>CF 00189270663</t>
  </si>
  <si>
    <t>LOCAZIONE TEMPORANEA ALLOGGI (FEBBRAIO 2016)</t>
  </si>
  <si>
    <t>LOCAZIONE TEMPORANEA ALLOGGI (OTTOBRE - DICEMBRE 2015; INTEGRAZIONE GIUGNO - SETTEMBRE 2015)</t>
  </si>
  <si>
    <t>TRASFERIMENTO SECONDA RATA PER ATTUAZIONE INTERVENTI IN MATERIA DI EDILIZIA SCOLASTICA - SCUOLA MEDIA "A.VIVENZA" COMUNE DI AVEZZANO (AQ) - INTERVENTO INDICATO AL II° STRALCIO DEL PROGRAMMA DI MESSA IN SICUREZZA DI EDIFICI SCOLASTICI A VALERE SULLA DELIBERA CIPE N.47/2009 CUP J33B11000110001 - CIG 2113855852, PROTOCOLLO NORMALIZZATO AQ-AVZ-OOPP-01278</t>
  </si>
  <si>
    <t>EROGAZIONE PRIMO ACCONTO PER COMPETENZE TECNICHE PER INDAGINI GEOLOGICHE E GEOTECNICHE CORRELATE AL PROGETTO DEFINITIVO RELATIVO ALL'INTERVENTO DI MIGLIORAMENTO SISMICO DELLA TORRE MEDICEA - COMUNE DI SANTO STEFANO DI SESSANIO (AQ)</t>
  </si>
  <si>
    <t>EROGAZIONE FONDI CORRELATI ALL'ACCONTO SPESE TECNICHE CONNESSE AL PROGETTO DEFINITIVO/ESECUTIVO PER INTERVENTO DI RIPARAZIONE DEI CIMITERI COMUNALI DI VILLA SANTA LUCIA DEGLI ABRUZZI (AQ)</t>
  </si>
  <si>
    <t>Comune di Gioia dei Marsi</t>
  </si>
  <si>
    <t>CF 81004440665</t>
  </si>
  <si>
    <t>TRAFERIMENTO SALDO FINALE RELATIVO AD ATTUAZIONE INTERVENTI IN MATERIA DI EDILIZIA SCOLASTICA "SCUOLA ELEMENTARE" COMUNE DI GIOIA DEI MARSI (AQ).SCUOLA ELEMENTARE DI VIA VENETO.INTERVENTO INDIVIDUATO NELL'ALLEGATO AL D.C.D.n. 89/2011 AL N. 32 al N.22 DELL'ALLEGATO RIMODULATO CON DELIBERA N. 85/2013 CUP J78G12000120001 - CIG 57685126BO PROTOCOLLO NORMALIZZATO AQ-GDM-OOPP-01010</t>
  </si>
  <si>
    <t>EROGAZIONE ANTICIPO SPESE TECNICHE PER LAVORI DI MESSA IN SICUREZZA DELLA SEDE STRADALE E DEL CAMPO DA GIOCO POLIVALENTE IN CORRISPONDENZA DELLA VIABILITÀ DI ACCESSO ALL'AREA MAP-OVEST DELLA FRAZIONE DI CASTELNUOVO – COMUNE DI SAN PIO DELLE CAMERE (AQ).</t>
  </si>
  <si>
    <t>EROGAZIONE FONDI A COPERTURA DEI COSTI RELATIVI AI LAVORI ESEGUITI A TUTTO IL SAL N. 1 E ALLE RELATIVE PRESTAZIONI PROFESSIONALI EFFETTUATE IN RELAZIONE AL PROGETTO DI RIPARAZIONE E SISTEMAZIONE DI MURI SU VIABILITÀ PUBBLICA DANNEGGIATI DAL SISMA DEL 6 APRILE 2009 SITI NEL COMUNE DI PRATA D'ANSIDONIA (AQ)</t>
  </si>
  <si>
    <t>EROGAZIONE FONDI PER LIQUIDAZIONE UNICO SAL FINALE CORRELATO AL PROGETTO DEFINITIVO/ESECUTIVO RELATIVO ALL'INTERVENTO DI DEMOLIZIONE EDILIZIA DEL COMPLESSO SCOLASTICO SITO IN MONTEREALE CAPOLUOGO (AQ)</t>
  </si>
  <si>
    <t>EROGAZIONE FONDI PER INTERVENTI DI RICOSTRUZIONE PRIVATA COMUNI "FUORI CRATERE" EX DELIBERA CIPE 22/2015 DEL 20/02/2015 (GU 140 DEL 19/06/2015) - COMUNE DI SCAFA (PE)</t>
  </si>
  <si>
    <t>Comune di Pettorano sul Gizio</t>
  </si>
  <si>
    <t>CF 83002390660</t>
  </si>
  <si>
    <t>TRASFERIMENTO FONDI A SALDO DELLA SPESA RELATIVA AD ATTUAZIONE INTERVENTI IN MATERIA DI EDILIZIA SCOLASTICA "SCUOLA ELEMENTARE" INTERVENTO INDICATO AL N. 49 DELL'ALLEGATO AL D.C.D. N. 89/2011 CUP D52I12000190001 - CIG 57406706BE PROTOCOLLO NORMALIZZATO AQ-PTT-OOPP-01249-COMUNE DI PETTORANO SUL GIZIO (AQ)</t>
  </si>
  <si>
    <t>EROGAZIONE RISORSE FINALIZZATE ALLA RICOSTRUZIONE PRIVATA EX DELIBERA CIPE 135/2012, 23/2014 E 22/2015 - COMUNE DI MONTORIO AL VOMANO (TE)</t>
  </si>
  <si>
    <t>EROGAZIONE RISORSE FINALIZZATE ALLA RICOSTRUZIONE PRIVATA EX DELIBERA CIPE 135/2012, DELIBERA CIPE 23/2014, DELIBERA CIPE 22/2015 - COMUNE DI BUGNARA (AQ)</t>
  </si>
  <si>
    <t>ACQUISIZIONE DELLA DOCUMENTAZIONE A RENDICONTAZIONE E SECONDO TRASFERIMENTO FONDI PER ATTUAZIONE INTERVENTI IN MATERIA DI EDILIZIA SCOLASTICA - SCUOLA MATERNA ED ELEMENTARE INTERVENTO INDIVIDUATO AL N.44 DELL'ALLEGATO D.C.D.N.89/2011 CUP C87E13000270001 - CIG 6335997620 PROTOCOLLO NORMALIZZATO AQ-OVI-OOPP-01157 COMUNE DI OVINDOLI (AQ)</t>
  </si>
  <si>
    <t>EROGAZIONE FONDI PER LIQUIDAZIONE SAL FINALE CORRELATO AL PROGETTO DEFINITIVO-ESECUTIVO DI LAVORI DI RIPARAZIONE DANNI CAUSATI DAL SISMA DEL 06.04.2009 SU INFRASTRUTTURE PUBBLICHE COMUNALI - MURO A GRAVITÀ SITO IN VIA G.D'ANNUNZIO - COMUNE DI MONTEBELLO DI BERTONA (PE)</t>
  </si>
  <si>
    <t>EROGAZIONE FONDI SAL FINALE RELATIVO ALL'INTERVENTO DI MESSA IN SICUREZZA DEL MURO CONTRO-TERRA DI RECINZIONE DEL MAP LOTTO SAN PIO - SAN PIO DELLE CAMERE (AQ)</t>
  </si>
  <si>
    <t>Comune di Elice</t>
  </si>
  <si>
    <t>CF 00221990682</t>
  </si>
  <si>
    <t>EROGAZIONE FONDI PER INTERVENTI DI RICOSTRUZIONE PRIVATA COMUNI " FUORI CRATERE" EX DELIBERA CIPE 22/2015 DEL 20/02/2015 (GU 140 DEL 19/06/2015) E DELIBERA CIPE 50/2013 DEL 02/08/2013 (GU 279 DEL 28/11/2013) - COMUNE DI ELICE (PE)</t>
  </si>
  <si>
    <t>CODFIN CIPE22art1c3, CIPE50art1c2</t>
  </si>
  <si>
    <t>Comune di Villa Sant'Angelo</t>
  </si>
  <si>
    <t>CF 80002590661</t>
  </si>
  <si>
    <t>EROGAZIONE ACCONTO A VALERE SUL FINANZIAMENTO PROGRAMMATICO RELATIVO AL PROGETTO DEFINITIVO/ESECUTIVO DI REALIZZAZIONE DI LOCALE AGGREGATIVO E DI TRIBUNA PER IMPIANTI SPORTIVI - COMUNE DI VILLA SANT'ANGELO (AQ)</t>
  </si>
  <si>
    <t>EROGAZIONE FONDI A TITOLO DI ACCONTO PER PROGETTO DEFINITIVO/ESECUTIVO RELATIVO AI LAVORI DI RIPARAZIONE DELL'IMMOBILE COMUNALE EX SCUOLA DI VALLE/AMBULATORIO MEDICO DANNEGGIATO DAL SISMA DEL 06/04/2009 - COMUNE DI OCRE, FRAZIONE VALLE/CAVALLETTO (AQ)</t>
  </si>
  <si>
    <t>Comune di Alanno</t>
  </si>
  <si>
    <t>CF 80013770682</t>
  </si>
  <si>
    <t>ACQUISIZIONE DOCUMENTAZIONE ATTA ALLA RENDICONTAZIONE E TRASFERIMENTO FONDI A TITOLO DI SECONDA RATA INERENTE ALLA SOSTITUZIONE EDILIZIA DEL COMPLESSO SCOLASTICO SITO IN ALANNO SCALO OSPITANTE LA SCUOLA MATERNA, ELEMENTARE E MEDIA - SCUOLA MEDIA, ELEMENTARE E MATERNA, VIA G. MATTEOTTI - INTERVENTO INDICATO AL N. 103 DELL'ALLEGATO AL D.C.D. N. 89/2011, CUP C33J13000440001 - CIG 63293221BF, PROTOCOLLO NORMALIZZATO PE-LNN-OOPP-01025 - COMUNE DI ALANNO (PE)</t>
  </si>
  <si>
    <t>EROGAZIONE RISORSE FINALIZZATE ALLA RICOSTRUZIONE PRIVATA EX DELIBERA CIPE 23/2014 E DELIBERA CIPE 22/2015 - COMUNE DI COCULLO (AQ)</t>
  </si>
  <si>
    <t>Comune di Navelli</t>
  </si>
  <si>
    <t>CF 00188910665</t>
  </si>
  <si>
    <t>ACQUISIZIONE DOCUMENTAZIONE ATTA ALLA RENDICONTAZIONE DEL PRIMO TRASFERIMENTO FONDI E SECONDO TRASFERIMENTO FONDI PER ATTUAZIONE INTERVENTI IN MATERIA DI EDILIZIA SCOLASTICA - SCUOLA ELEMENTARE - INTERVENTO INDIVIDUATO NELL'ALLEGATO AL D.C.D. N. 89/2011 - CUP H16B14000010001 - CIG 4669483345 PROTOCOLLO NORMALIZZATO AQ-NAV-OOPP-01428 COMUNE DI NAVELLI</t>
  </si>
  <si>
    <t>Comune di Trasacco</t>
  </si>
  <si>
    <t>CF 00167260660</t>
  </si>
  <si>
    <t>ACQUISIZIONE DOCUMENTAZIONE ATTA ALLA RENDICONTAZIONE DEL PRIMO TRASFERIMENTO FONDI E SECONDO TRASFERIMENTO FONDI PER ATTUAZIONE INTERVENTI IN MATERIA DI EDILIZIA SCOLASTICA - SCUOLA MEDIA- INTERVENTO INDIVIDUATO NELL'ALLEGATO AL D.C.D. N. 89/2011 - CUP D97E13000400001 - CIG 6166280F37 PROTOCOLLO NORMALIZZATO AQ-TRS-OOPP-01052 COMUNE DI TRASACCO (AQ)</t>
  </si>
  <si>
    <t>EROGAZIONE FONDI I SAL RELATIVO AL PROGETTO DEFINITIVO/ESECUTIVO DI LAVORI DI REALIZZAZIONE DI UN CENTRO POLIFUNZIONALE MEDIANTE RICONVERSIONE EX MATTATOIO - COMUNE DI MONTEBELLO DI BERTONA (PE)</t>
  </si>
  <si>
    <t>Comune di Castelvecchio Subequo</t>
  </si>
  <si>
    <t>EROGAZIONE FONDI II SAL A VALERE SULLA APPROVAZIONE DELLA SPESA RELATIVA AL PROGETTO DEFINITIVO DI RIPARAZIONE DEL CIMITERO COMUNALE DI CASTELVECCHIO SUBEQUO (AQ)</t>
  </si>
  <si>
    <t>LIQUIDAZIONE FONDI RELATIVI AL I SAL, II SAL, III SAL RELATIVI ALL'INTERVENTO DI MESSA IN SICUREZZA DEGLI IMMOBILI SITI IN LARGO SANT'ANGELO - COMUNE DI BUGNARA (AQ)</t>
  </si>
  <si>
    <t>CODFIN CIPE135art1c1 CIPE78art1c1</t>
  </si>
  <si>
    <t>EROGAZIONE FONDI RELATIVI AL I SAL, STATO FINALE E COMPETENZE TECNICHE CORRELATI ALL' "INTERVENTO DI MESSA IN SICUREZZA DI PALAZZO ALESI" - COMUNE DI BUGNARA (AQ)</t>
  </si>
  <si>
    <t>EROGAZIONE FONDI CORRELATI AL III SAL RELATIVO AL PROGETTO DEFINITIVO DI RIPARAZIONE E MIGLIORAMENTO SISMICO DELL'EDIFICIO EX OMNI SITO NEL COMUNE DI CUGNOLI (PE)</t>
  </si>
  <si>
    <t>Comune di Montrbello di Bertona</t>
  </si>
  <si>
    <t>EROGAZIONE FONDI I SAL A VALERE SUL FINANZIAMENTO PROGRAMMATICO CORRELATO AL PROGETTO DEFINITIVO-ESECUTIVO DI LAVORI DI RIPARAZIONE DEL DANNO SISMICO E RAFFORZAMENTO DELLA SICUREZZA PREESISTENTE IN UN IMMOBILE DI EDILIZIA RESIDENZIALE PUBBLICA - COMUNE DI MONTEBELLO DI BERTONA (PE)</t>
  </si>
  <si>
    <t>EROGAZIONE PRIMO ACCONTO PER IL PROGETTO DEFINITIVO ATTO ALLA REALIZZAZIONE DELL'INTERVENTO DI RICOSTRUZIONE DELL'EDIFICIO SEDE COMUNALE DI PRATA D'ANSIDONIA (AQ)</t>
  </si>
  <si>
    <t>Comune di Campotosto</t>
  </si>
  <si>
    <t>CF 00085160661</t>
  </si>
  <si>
    <t>EROGAZIONE FONDI A FAVORE DEL COMUNE DI CAMPOTOSTO (AQ) - FRAZ. ORTOLANO, AFFIDAMENTO LAVORI DI "RIMOZIONE E SEPARAZIONE MACERIE PUBBLICHE PROVENIENTI DA DEMOLIZIONE DI FABBRICATO A SEGUITO DEL SISMA DEL 06/04/2009"</t>
  </si>
  <si>
    <t>Comune di Rocca di Cambio</t>
  </si>
  <si>
    <t>CF 00213130669</t>
  </si>
  <si>
    <t>EROGAZIONE RISORSE FINALIZZATE ALLA RICOSTRUZIONE PRIVATA EX DELIBERA CIPE 135/2012, DELIBERA CIPE 23/2014, DELIBERA CIPE 22/2015 - COMUNE DI ROCCA DI CAMBIO (AQ)</t>
  </si>
  <si>
    <t>EROGAZIONE FONDI PER INTERVENTI DI RICOSTRUZIONE PRIVATA COMUNI "FUORI CRATERE" EX DELIBERA CIPE 22/2015 DEL 20/02/2015 (GU 140 DEL 19/06/2015), DELIBERA CIPE 50/2013 DEL 02/08/2013 (GU 279 DEL 28/11/2013) E DELIBERA CIPE 135/2012 DEL 21/12/2012 (GU 63 DEL 13/03/2013) - COMUNE DI ALANNO (PE)</t>
  </si>
  <si>
    <t>CODFIN CIPE135/2012 CIPE 50/2013 CIPE 22/2015</t>
  </si>
  <si>
    <t>EROGAZIONE FONDI PER I SAL, II SAL, III SAL, IV SAL E SPESE TECNICHE PER APPROVAZIONE SPESA PER RESTAURO E RIPRISTINO DEL MURO DI CINTA DEL CIMITERO DI VILLA SANT'ANGELO E DELLE OPERE ACCESSORIE - COMUNE DI VILLA SANT'ANGELO (AQ)</t>
  </si>
  <si>
    <t>Comune di San Vincenzo Valle Roveto</t>
  </si>
  <si>
    <t>CF 00217860667</t>
  </si>
  <si>
    <t>ACQUISIZIONE DOCUMENTAZIONE RELATIVA ALLA RENDICONTAZIONE DEL PRIMO TRASFERIMENTO FONDI PER ATTUAZIONE INTERVENTI IN MATERIA DI EDILIZIA SCOLASTICA, DEL SECONDO SAL E TRASFERIMENTO FONDI A TITOLO DI SALDO DELLA SPESA RIPARAZIONE DANNI E RINFORZO LOCALE DELLA SCUOLA "ALDO MORO" INTERVENTO INDIVIDUATO NELL'ALLEGATO AL D.C.D.N.89/2011 CUP:G87E11000170002 - CIG:6275797783 PROTOCOLLO NORMALIZZATO AQ-VVR-OOPP-01016 - COMUNE DI SAN VINCENZO VALLE ROVETO (AQ)</t>
  </si>
  <si>
    <t>Comune di Aielli</t>
  </si>
  <si>
    <t>CF 00098910664</t>
  </si>
  <si>
    <t>ACQUISIZIONE DOCUMENTAZIONE ATTA ALLA RENDICONTAZIONE DELLE SPESE CORRELATE AL TRASFERIMENTO DELLA II RATA DI ACCONTO E TRASFERIMENTO FONDI A TITOLO DI SALDO FINALE RELATIVO AD ATTUAZIONE INTERVENTI IN MATERIA DI EDILIZIA SCOLASTICA INFANZIA E PRIMARIA LOC.VICENNE - INTERVENTO INDIVIDUATO NELL'ALLEGATO AL D.C.D.N.89/2011 DELIBERA CIPE N.85 DEL 08/11/2013 CUP G83H14000010001 - CIG 57355093C1 PROTOCOLLO NORMALIZZATO AQ-ALL-OOPP-01016 - "EDIFICIO MATERNA, ELEMENTARE" - COMUNE DI AIELLI (AQ)</t>
  </si>
  <si>
    <t>CINEAS</t>
  </si>
  <si>
    <t>CF 08806930155</t>
  </si>
  <si>
    <t>Fattura Cineas n. 36/A del 30/06/2011 intestata al Comune di CAMPLI</t>
  </si>
  <si>
    <t>CODFIN CIPE23art2c4</t>
  </si>
  <si>
    <t>Fattura Cineas n. 58/A del 31/12/2013 intestata al Comune di CAMPLI</t>
  </si>
  <si>
    <t>Fattura Cineas n. 6/A del 30/01/2012 intestata al Comune di CAMPLI</t>
  </si>
  <si>
    <t>Fattura Cineas n. 79/A del 30/11/2012 intestata al Comune di CAMPLI</t>
  </si>
  <si>
    <t>Fattura Cineas n. 80/A del 30/11/2012 intestata al Comune di CAMPOTOSTO</t>
  </si>
  <si>
    <t>Fattura Cineas n. 31/A del 25/05/2012 intestata al Comune di CARPINETO DELLA NORA</t>
  </si>
  <si>
    <t>Fattura Cineas n. 35/A del 30/06/2011 intestata al Comune di CARPINETO DELLA NORA</t>
  </si>
  <si>
    <t>Fattura Cineas n. 67/A del 31/08/2011 intestata al Comune di CARPINETO DELLA NORA</t>
  </si>
  <si>
    <t>Fattura Cineas n. 78/A del 30/11/2012 intestata al Comune di CARPINETO DELLA NORA</t>
  </si>
  <si>
    <t>Fattura Cineas n. 08/A del 31/03/2011 intestata al Comune di CARPINETO DELLA NORA</t>
  </si>
  <si>
    <t>Fattura Cineas n. 61/A del 31/12/2013 intestata al Comune di CORTINO</t>
  </si>
  <si>
    <t>Fattura Cineas n. 65/A del 31/12/2013 intestata al Comune di CORVARA</t>
  </si>
  <si>
    <t>Fattura Cineas n. 16/A del 30/04/2013 intestata al Comune di FANO ADRIANO</t>
  </si>
  <si>
    <t>Fattura Cineas n. 84/A del 31/12/2013 intestata al Comune di FANO ADRIANO</t>
  </si>
  <si>
    <t>Fattura Cineas n. 67/A del 31/07/2012 intestata al Comune di MANOPPELLO</t>
  </si>
  <si>
    <t>Fattura Cineas n. 70/A del 31/12/2013 intestata al Comune di MANOPPELLO</t>
  </si>
  <si>
    <t>Fattura Cineas n. 31/A del 30/04/2013 intestata al Comune di SAN DEMETRIO NE' VESTINI</t>
  </si>
  <si>
    <t>Fattura Cineas n. 69/A del 31/07/2012 intestata al Comune di SAN DEMETRIO NE' VESTINI</t>
  </si>
  <si>
    <t>Fattura Cineas n. 122/A del 31/10/2011 intestata al Comune di SULMONA</t>
  </si>
  <si>
    <t>Fattura Cineas n. 15/A del 30/01/2012 intestata al Comune di SULMONA</t>
  </si>
  <si>
    <t>Fattura Cineas n. 33/A del 30/04/2013 intestata al Comune di SULMONA</t>
  </si>
  <si>
    <t>Fattura Cineas n. 54/A del 28/05/2012 intestata al Comune di SULMONA</t>
  </si>
  <si>
    <t>Fattura Cineas n. 76/A del 31/12/2013 intestata al Comune di SULMONA</t>
  </si>
  <si>
    <t>Fattura Cineas n. 125/A del 31/08/2011 intestata al Comune di TERAMO</t>
  </si>
  <si>
    <t>Fattura Cineas n. 19/A del 30/01/2012 intestata al Comune di TERAMO</t>
  </si>
  <si>
    <t>Fattura Cineas n. 23/A del 31/03/2011 intestata al Comune di TERAMO</t>
  </si>
  <si>
    <t>Fattura Cineas n. 51/A del 30/06/2011 intestata al Comune di TERAMO</t>
  </si>
  <si>
    <t>Fattura Cineas n. 58/A del 28/05/2012 intestata al Comune di TERAMO</t>
  </si>
  <si>
    <t>Fattura Cineas n. 79/a del 31/12/2013 intestata al Comune di TERAMO</t>
  </si>
  <si>
    <t>Fattura Cineas n. 89/A del 31/08/2011 intestata al Comune di TERAMO</t>
  </si>
  <si>
    <t>Fattura Cineas n. 93/A del 30/11/2012 intestata al Comune di TERAMO</t>
  </si>
  <si>
    <t>Fattura Cineas n. 123/A del 31/10/2011 intestata al Comune di TIONE DEGLI ABRUZZI</t>
  </si>
  <si>
    <t>Fattura Cineas n. 55/A del 28/05/2012 intestata al Comune di TIONE DEGLI ABRUZZI</t>
  </si>
  <si>
    <t>Fattura Cineas n. 86/A del 31/08/2011 intestata al Comune di TIONE DEGLI ABRUZZI</t>
  </si>
  <si>
    <t>Fattura Cineas n. 39/A del 30/04/2013 intestata al Comune di TOSSICIA</t>
  </si>
  <si>
    <t>Fattura Cineas n. 42/A del 30/04/2013 intestata al Comune di VICOLI</t>
  </si>
  <si>
    <t>Fattura Cineas n. 55/A del 30/06/2011 intestata al Comune di VICOLI</t>
  </si>
  <si>
    <t>Fattura Cineas n. 62/A del 28/05/2012 intestata al Comune di VICOLI</t>
  </si>
  <si>
    <t>Fattura Cineas n. 71/A del 31/07/2012 intestata al Comune di VICOLI</t>
  </si>
  <si>
    <t>Fattura Cineas n. 83/A del 31/12/2013 intestata al Comune di VICOLI</t>
  </si>
  <si>
    <t>Fattura Cineas n. 92/A del 31/08/2011 intestata al Comune di VICOLI</t>
  </si>
  <si>
    <t>Fattura Cineas n. 96/A del 30/11/2012 intestata al Comune di VICOLI</t>
  </si>
  <si>
    <t>Reluis</t>
  </si>
  <si>
    <t>CF 04552721211</t>
  </si>
  <si>
    <t>Fattura Reluis n. 54V01 del 06/08/2012 intestata al Comune di CAMPLI</t>
  </si>
  <si>
    <t>Fattura Reluis n. 8V01 del 16/01/2013 intestata al Comune di CAMPLI</t>
  </si>
  <si>
    <t>Fattura Reluis n. 9V01 del 01/06/2012 intestata al Comune di CAMPLI</t>
  </si>
  <si>
    <t>Fattura Reluis n. 35V01 del 14/02/2013 intestata al Comune di CAPESTRANO</t>
  </si>
  <si>
    <t>Fattura Reluis n. 48V01 del 18/04/2013 intestata al Comune di CAPESTRANO</t>
  </si>
  <si>
    <t>Fattura Reluis n. 31V01 del 16/01/2013 intestata al Comune di CORTINO</t>
  </si>
  <si>
    <t>Fattura Reluis n. 37V01 del 14/02/2013 intestata al Comune di FANO ADRIANO</t>
  </si>
  <si>
    <t>Fattura Reluis n. 55V01 del 18/04/2013 intestata al Comune di FANO ADRIANO</t>
  </si>
  <si>
    <t>Fattura Reluis n. 15V01 del 03/03/2011 intestata al Comune di GAGLIANO ATERNO</t>
  </si>
  <si>
    <t>Fattura Reluis n. 16V01 del 16/01/2013 intestata al Comune di GAGLIANO ATERNO</t>
  </si>
  <si>
    <t>Fattura Reluis n. 77V01 del 28/09/2011 intestata al Comune di GAGLIANO ATERNO</t>
  </si>
  <si>
    <t>Fattura Reluis n. 125V01 del 16/12/2011 intestata al Comune di SULMONA</t>
  </si>
  <si>
    <t>Fattura Reluis n. 25V01 del 16/01/2013 intestata al Comune di SULMONA</t>
  </si>
  <si>
    <t>Fattura Reluis n. 29V01 del 01/06/2012 intestata al Comune di SULMONA</t>
  </si>
  <si>
    <t>Fattura Reluis n. 71V01 del 18/04/2013 intestata al Comune di SULMONA</t>
  </si>
  <si>
    <t>Fattura Reluis n. 78V01 del 18/04/2013 intestata al Comune di VICOLI</t>
  </si>
  <si>
    <t>Comune di Picciano</t>
  </si>
  <si>
    <t>CF 00230400681</t>
  </si>
  <si>
    <t>ACQUISIZIONE DOCUMENTAZIONE ATTA ALLA RENDICONTAZIONE E TRASFERIMENTO SECONDA RATA DEI FONDI PER ATTUAZIONE INTERVENTI IN MATERIA DI EDILIZIA SCOLASTICA INTERVENTO DI SOSTITUZIONE EDILIZIA PER LA REALIZZAZIONE DELLA SCUOLA ELEMENTARE E PALESTRA. INTERVENTO INDIVIDUATO AL N. 124 DELL'ALLEGATO AL D.C.D. N. 89/2011 E AL N. 107 DELL'ALLEGATO RIMODULATO APPROVATO CON DELIBERA N. 85/2013. CUP: C56D09000070001 CIG: 60723559DC PROTOCOLLO NORMALIZZATO: PE-PCN-OOPP-01046 - COMUNE DI PICCIANO (PE)</t>
  </si>
  <si>
    <t>RENDICONTAZIONE CO.CO.CO. (GENNAIO - DICEMBRE 2015)</t>
  </si>
  <si>
    <t>RENDICONTAZIONE CO.CO.CO. (GENNAIO-FEBBRAIO 2016)</t>
  </si>
  <si>
    <t>CODFIN CIPE113a4c1</t>
  </si>
  <si>
    <t>RENDICONTAZIONE CO.CO.CO.(GENNAIO - MARZO 2016)</t>
  </si>
  <si>
    <t>RENDICONTAZIONE CO.CO.CO. (GENNAIO - MARZO 2016)</t>
  </si>
  <si>
    <t>PRESTAZIONI OCCASIONALI RELATIVE ALL'ISTRUTTORIA DELLE PRATICHE DI RICOSTRUZIONE DEI COMUNI FUORI CRATERE INDIRIZZATE VERSO GLI U.T.R. (GENNAIO-FEBBRAIO 2016)</t>
  </si>
  <si>
    <t>CONTRIBUTO AUTONOMA SISTEMAZIONE (MARZO E APRILE 2016)</t>
  </si>
  <si>
    <t>CONTRIBUTO AUTONOMA SISTEMAZIONE (AGOSTO-NOVEMBRE 2015 )</t>
  </si>
  <si>
    <t>CONTRIBUTO AUTONOMA SISTEMAZIONE (GENNAIO-MARZO 2016)</t>
  </si>
  <si>
    <t>CONTRIBUTO AUTONOMA SISTEMAZIONE (MARZO-APRILE 2016)</t>
  </si>
  <si>
    <t>CONTRIBUTO AUTONOMA SISTEMAZIONE (APRILE 2016)</t>
  </si>
  <si>
    <t>CONTRIBUTO AUTONOMA SISTEMAZIONE (FEBBRAIO-MARZO 2016)</t>
  </si>
  <si>
    <t>CONTRIBUTO AUTONOMA SISTEMAZIONE (MARZO 2012-GENNAIO 2015)</t>
  </si>
  <si>
    <t>CONTRIBUTO AUTONOMA SISTEMAZIONE (GENNAIO-APRILE 2016)</t>
  </si>
  <si>
    <t>Comune di Bellante</t>
  </si>
  <si>
    <t>CF 00212050678</t>
  </si>
  <si>
    <t>CONTRIBUTO AUTONOMA SISTEMAZIONE (SETTEBRE 2015- FEBBRAIO 2016)</t>
  </si>
  <si>
    <t>Comune di Canzano</t>
  </si>
  <si>
    <t>CF 80004810679</t>
  </si>
  <si>
    <t>CONTRIBUTO AUTONOMA SISTEMAZIONE (SETTEMBRE 2015 - MARZO 2016)</t>
  </si>
  <si>
    <t>CONTRIBUTO AUTONOMA SISTEMAZIONE (FEBBRAIO-MARZO 2016 )</t>
  </si>
  <si>
    <t>CONTRIBUTO AUTONOMA SISTEMAZIONE (MAGGIO-OTTOBRE 2015)</t>
  </si>
  <si>
    <t>Comune di Corfinio</t>
  </si>
  <si>
    <t>CF 83000590667</t>
  </si>
  <si>
    <t>CONTRIBUTO AUTONOMA SISTEMAZIONE (APRILE 2015 - APRILE 2016)</t>
  </si>
  <si>
    <t>Comune di Pratola Peligna</t>
  </si>
  <si>
    <t>CF 00017390667</t>
  </si>
  <si>
    <t>CONTRIBUTO AUTONOMA SISTEMAZIONE (AGOSTO 2015 -GENNAIO 2016)</t>
  </si>
  <si>
    <t>RENDICONTAZIONE CO.CO.CO. (GIUGNO-DICEMBRE 2014)</t>
  </si>
  <si>
    <t>LOCAZIONE TEMPORANEA ALLOGGI (GENNAIO - MARZO 2016)</t>
  </si>
  <si>
    <t>LOCAZIONE TEMPORANEA ALLOGGI (MARZO E APRILE 2016)</t>
  </si>
  <si>
    <t>LOCAZIONE TEMPORANEA ALLOGGI (GENNAIO-MARZO 2016)</t>
  </si>
  <si>
    <t>RENDICONTAZIONE TRASLOCO E DEPOSITO TEMPORANEO DEL MOBILIO (GENNAIO-MARZO 2016)</t>
  </si>
  <si>
    <t>RENDICONTAZIONE TRASLOCO E DEPOSITO TEMPORANEO DEL MOBILIO (FEBBRAIO-MARZO 2016)</t>
  </si>
  <si>
    <t>RENDICONTAZIONE TRASLOCO E DEPOSITO TEMPORANEO DEL MOBILIO (NOVEMBRE 2014 E MARZO 2015)</t>
  </si>
  <si>
    <t>Comune di Poggio Picenze</t>
  </si>
  <si>
    <t>CF 00210400669</t>
  </si>
  <si>
    <t>RENDICONTAZIONE TRASLOCO E DEPOSITO TEMPORANEO DEL MOBILIO (MAGGIO 2012;GIUGNO 2013;MAGGIO 2014)</t>
  </si>
  <si>
    <t>RENDICONTAZIONE TRASLOCO E DEPOSITO TEMPORANEO DEL MOBILIO (APRILE 2014;AGOSTO-SETTEMBRE 2015;FEBBRAIO 2016)</t>
  </si>
  <si>
    <t>RENDICONTAZIONE TRASLOCO E DEPOSITO TEMPORANEO DEL MOBILIO (NOVEMBRE 2014)</t>
  </si>
  <si>
    <t>RENDICONTAZIONE TRASLOCO E DEPOSITO TEMPORANEO DEL MOBILIO (MARZO 2016)</t>
  </si>
  <si>
    <t>RENDICONTAZIONE TRASLOCO E DEPOSITO TEMPORANEO DEL MOBILIO (MARZO,MAGGIO,DICEMBRE 2014)</t>
  </si>
  <si>
    <t>EROGAZIONE FONDI II SAL, COMPETENZE TECNICHE COORDINAMENTO SICUREZZA E SUPPORTO AL RUP RELATIVI AL PROGETTO DEFINITIVO-ESECUTIVO DI RECUPERO EDILIZIO DI PALAZZO CIONNI SITO IN PIAZZA UMBERTO I, SITO A BARETE (AQ)</t>
  </si>
  <si>
    <t>Comune di Bisegna</t>
  </si>
  <si>
    <t>CF 00213000664</t>
  </si>
  <si>
    <t>LOCAZIONE TEMPORANEA ALLOGGI (MARZO 2010-GIUGNO 2012)</t>
  </si>
  <si>
    <t>LOCAZIONE TEMPORANEA ALLOGGI (SETTEMBRE 2015 - MARZO 2016)</t>
  </si>
  <si>
    <t>Comune di Villavallelonga</t>
  </si>
  <si>
    <t>PI 00207820663</t>
  </si>
  <si>
    <t>EROGAZIONE FONDI A TITOLO ACCONTO RELATIVI AL PROGETTO DEFINITIVO/ESECUTIVO RELATIVO ALL'INTERVENTO DI MANUTENZIONE STRAORDINARIA E RIPARAZIONE EDILIZIA POPOLARE - COMUNE DI CIVITELLA CASANOVA (PE)</t>
  </si>
  <si>
    <t>Comune di Sant'Eusanio Forconese</t>
  </si>
  <si>
    <t>CF 80002610667</t>
  </si>
  <si>
    <t>EROGAZIONE FONDI A TITOLO DI ACCONTO PER COMPETENZE TECNICHE CORRELATE AL PROGETTO DEFINITIVO/ESECUTIVO RELATIVO ALL'INTERVENTO DI RIPRISTINO DELLE AREE CIMITERIALI DANNEGGIATE DAGLI EVENTI SISMICI DEL 06/04/2009 - COMUNE DI SANT'EUSANIO FORCONESE (AQ)</t>
  </si>
  <si>
    <t>EROGAZIONE FONDI A TITOLO DI ACCONTO PER LAVORI DI RIPARAZIONE DANNI CAUSATI DAL SISMA DEL 06/04/2009 SU INFRASTRUTTURE PUBBLICHE COMUNALI - COMUNE DI ROCCA DI CAMBIO (AQ)</t>
  </si>
  <si>
    <t>EROGAZIONE FONDI FINALIZZATI ALLA LIQUIDAZIONE DEI "LAVORI DI ASSISTENZA RINVENIMENTI ARCHEOLOGICI C/O CANTIERE SITO IN VIA OSTERIA-FOSSA (AQ). PROGETTO DI DEMOLIZIONE E RICOSTRUZIONE DELL'AGGREGATO EDILIZIO DENOMINATO "CONSORZIO VIA SANT'EUSANIO" DANNEGGIATO DAL SISMA DEL 6 APRILE 2009. AGGREGATO STRUTTURALE N.4400133-AGGREGATO ESTERNO ALLA PERIMETRAZIONE N.65. RIF.CATASTALI: FG. 7 PARTICELLE 118, 119, 130, 131, 132, 133 CUP: H51G14000250001. RIF.PRATICA: PROT.N.1526 DEL 19/07/2012. PROT.NORMALIZZATO: AQ-FOS-E-01526</t>
  </si>
  <si>
    <t>EROGAZIONE FONDI FINALIZZATI ALLA LIQUIDAZIONE DELLE SPESE RELATIVE AL PROGETTO DI DEMOLIZIONE E RICOSTRUZIONE DELL'AGGREGATO EDILIZIO DENOMINATO "AGGREGATO DELL'OSTERIA" DANNEGGIATO DAL SISMA DEL 6 APRILE 2009. AGGREGATO STRUTTURALE N.4400271-ESTERNO ALLA PERIMETRAZIONE N.66. RIF.CATASTALI: FG.7 PARTICELLE 114-117-1546-1547. CUP: H57B000000001. PERMESSO DI COSTRUIRE N.2 DEL 11/02/2015, PROT.317/2015; ATTESTATO DI AVVENUTO DEPOSITO N.230/2015, PROT.N.25524 DEL 08/05/2015; PARERE DELLA SOPRINTENDENZA PER I BENI ARCHEOLOGICI DELL'ABRUZZO-CHIETI (MBAC-SBA-ABR PROT.0004965 DEL 09/07/2014)</t>
  </si>
  <si>
    <t>EROGAZIONE FONDI PER SPESE SOSTENUTE PER INTERVENTI DI MANUTENZIONE STRAORDINARIA MAP N.1 E N.21 SITI IN LOCALITÀ PALOMBAIA- COMUNE DI SAN DEMETRIO NE'VESTINI (AQ)</t>
  </si>
  <si>
    <t>Comune di Isola del Gran Sasso d'Italia</t>
  </si>
  <si>
    <t>CF 80003790674</t>
  </si>
  <si>
    <t>EROGAZIONE FONDI PER INTERVENTI DI RICOSTRUZIONE PRIVATA COMUNI "FUORI CRATERE" EX DELIBERA CIPE 22/2015 DEL 20/02/2015 (GU 140 DEL 19/06/2015) E DELIBERA CIPE 50/2013 DEL 02/08/2013 (GU 279 DEL 28/11/2013) - DELIBERA CIPE 135/2012 DEL 21/12/2012 (GU 63 DEL 13/03/2013) - COMUNE DI ISOLA DEL GRAN SASSO D'ITALIA (TE)</t>
  </si>
  <si>
    <t>CODFIN 135/2012 CIPE 50/2013 CIPE 22/2015</t>
  </si>
  <si>
    <t>TRASFERIMENTO FONDI PER SPESE TECNICHE ATTUAZIONE INTERVENTI IN MATERIA DI EDILIZIA SCOLASTICA - REALIZZAZIONE DI UN NUOVO "POLO SCOLASTICO" DESTINATO AD OSPITARE LA SCUOLA PRIMARIA, SECONDARIA DI PRIMO GRADO. INTERVENTO INDIVIDUATO AL N. 152 DELL'ALLEGATO AL D.C.D. N. 89/2011, E AL N. 135 DELL'ALLEGATO RIMODULATO APPROVATO CON DELIBERA N. 85/2013</t>
  </si>
  <si>
    <t>EROGAZIONE FONDI ATTI ALLA LIQUIDAZIONE DEGLI EMOLUMENTI SPETTANTI PER LA PROROGA DEI CONTRATTI A TEMPO DETERMINATO IN AVVALIMENTO PRESSO L'UFFICIO SPECIALE PER LA RICOSTRUZIONE DEI COMUNI DEL CRATERE</t>
  </si>
  <si>
    <t>CIPE113art4c1</t>
  </si>
  <si>
    <t>Comune di Pacentro</t>
  </si>
  <si>
    <t>CF 83000650669</t>
  </si>
  <si>
    <t>EROGAZIONE FONDI PER INTERVENTI DI RICOSTRUZIONE PRIVATA COMUNI "FUORI CRATERE" EX DELIBERA CIPE 22/2015 DEL 20/02/2015 (GU 140 DEL 19/06/2015), DELIBERA CIPE 50/2013 DEL 02/08/2013 (GU 279 DEL 28/11/2013) E DELIBERA CIPE 135/2012 DEL 21/12/2012 (GU 63 DEL 13/03/2013) - COMUNE DI PACENTRO (AQ)</t>
  </si>
  <si>
    <t>EROGAZIONE ACCONTO PROFESSIONISTI INCARICATI E RUP PER PRESTAZIONI CORRELATE AL PROGETTO PRELIMINARE PER INTERVENTO DI MESSA IN SICUREZZA POST-SISMA SUI MURI DI CONTENIMENTO IN CARAPELLE CALVISIO (AQ)</t>
  </si>
  <si>
    <t>EROGAZIONE UNICO SAL FINALE RELATIVO AL PROGETTO ESECUTIVO CORRELATO ALLA REALIZZAZIONE DI OPERE PROVVISIONALI E MESSA IN SICUREZZA DI EDIFICI DANNEGGIATI DAL SISMA SITI IN VIA CAVOUR- COMUNE DI BARISCIANO (AQ)</t>
  </si>
  <si>
    <t>EROGAZIONE FONDI PER PRESTAZIONI PROFESSIONISTA ESTERNO CORRELATE AD INTERVENTI DI URGENZA SULLE COPERTURE COMPLESSO INSEDIATIVO MAP DEL COMUNE DI PIZZOLI DENOMINATO BORGO CAMPO SAN GIOVANNI - LOTTO II - COMUNE DI PIZZOLI (AQ)</t>
  </si>
  <si>
    <t>EROGAZIONE FONDI PER INTERVENTI DI RICOSTRUZIONE PRIVATA COMUNI "FUORI CRATERE" EX DELIBERA CIPE 22/2015 DEL 20/02/2015 (GU 140 DEL 19/06/2015) - COMUNE DI BISEGNA (AQ)</t>
  </si>
  <si>
    <t>CODFIN CIPE 22/2015</t>
  </si>
  <si>
    <t>EROGAZIONE RISORSE FINALIZZATE ALLA RICOSTRUZIONE PRIVATA EX DELIBERA CIPE 135/2012, DELIBERA CIPE 23/2014, DELIBERA CIPE 22/2015 - COMUNE DI COLLEDARA (TE)</t>
  </si>
  <si>
    <t>CODFIN CIPE135/2012 CIPE23/2014</t>
  </si>
  <si>
    <t>EROGAZIONE FONDI RELATIVI AI LAVORI PER IL RIPRISTINO DELLE NORMALI CONDIZIONI DI ABITABILITA' NEGLI ALLOGGI POST SISMA 2009 IN LOCALITA' SAN ROCCO DI CASTELLI (EX OSTELLO DELLA GIOVENTU') - COMUNE DI CASTELLI (TE)</t>
  </si>
  <si>
    <t>EROGAZIONE FONDI RELATIVI AI LAVORI DI MANUTENZIONE MAP N. 5 E 8 - COMUNE DI CASTELLI (TE)</t>
  </si>
  <si>
    <t>EROGAZIONE FONDI PER LAVORI PER L'ELIMINAZIONE DEL PERICOLO DI PUBBLICA INCOLUMITA' SU MARCIAPIEDI COMUNALI NONCHE' RIPRISTINO ALLOGGIAMENTO CONTATORI GAS IN CORRISPONDENZA DEGLI ALLOGGI MAP POST SISMA 2009 IN FRAZIONE VILLA ROSSI DI CASTELLI - COMUNE DI CASTELLI (TE)</t>
  </si>
  <si>
    <t>Asm Spa</t>
  </si>
  <si>
    <t>PI 01413740661</t>
  </si>
  <si>
    <t>EROGAZIONE FONDI A FAVORE DELLA ASM SPA- CANTIERE COMUNE SAN PIO DELLE CAMERE - FRAZ.CASTELNUOVO COD.SPC01 E CANTIERE COMUNE DI CAMPOTOSTO E FRAZIONI COD.CMP01 - CONVENZIONE REP/USRC N.01 DEL 15/04/2015 FATTURA N.24/01 DEL 11/05/2016</t>
  </si>
  <si>
    <t>EROGAZIONE RISORSE FINALIZZATE ALLA RICOSTRUZIONE PRIVATA EX DELIBERA CIPE 135/2012, DELIBERA CIPE 23/2014 E DELIBERA CIPE 22/2015 - COMUNE DI TOSSICIA (TE)</t>
  </si>
  <si>
    <t>CODFIN CIPE135/2012</t>
  </si>
  <si>
    <t>EROGAZIONE FONDI A TITOLO DI ACCONTO RELATIVI ALL'INTERVENTO DI RIPRISTINO DELL'ACCESSIBILITÀ E DELLA FUNZIONALITÀ DELLE STRUTTURE CIMITERIALI - OSSARIO - COMUNE DI COCULLO (AQ)</t>
  </si>
  <si>
    <t>EROGAZIONE FONDI PER INTERVENTI DI RICOSTRUZIONE PRIVATA COMUNI "FUORI CRATERE" EX DELIBERA CIPE 22/2015 DEL 20/02/2015 (GU 140 DEL 19/06/2015) E DELIBERA CIPE 50/2013 DEL 02/08/2013 (GU 279 DEL 28/11/2013) - DELIBERA CIPE 135/2012 DEL 21/12/2012 (GU 63 DEL 13/03/2013) - COMUNE DI CORFINIO (AQ)</t>
  </si>
  <si>
    <t>EROGAZIONE RISORSE FINALIZZATE ALLA RICOSTRUZIONE PRIVATA EX DELIBERA CIPE 135/2012, DELIBERA CIPE 23/2014 E DELIBERA CIPE 22/2015 - COMUNE DI SAN DEMETRIO NE' VESTINI (AQ)</t>
  </si>
  <si>
    <t>Comune di San Martino sulla Marrucina</t>
  </si>
  <si>
    <t>PI 00261340699</t>
  </si>
  <si>
    <t>EROGAZIONE FONDI PER INTERVENTI DI RICOSTRUZIONE PRIVATA COMUNI "FUORI CRATERE" EX DELIBERA CIPE 22/2015 DEL 20/02/2015 (GU 140 DEL 19/06/2015) SAN MARTINO SULLA MARRUCINA (CH)</t>
  </si>
  <si>
    <t>Comune di Collepietro</t>
  </si>
  <si>
    <t>CF 00093010668</t>
  </si>
  <si>
    <t>EROGAZIONE FONDI PER INTERVENTI DI RICOSTRUZIONE PRIVATA COMUNI "FUORI CRATERE" EX DELIBERA CIPE 135/2012 DEL 21/12/2012 (GU 63 DEL 13/03/2013) COMUNE DI COLLEPIETRO (AQ)</t>
  </si>
  <si>
    <t>EROGAZIONE FONDI FINALIZZATI ALLA LIQUIDAZIONE DEI LAVORI DI ASSISTENZA ARCHEOLOGICA LAVORI RINVENIMENTI ARCHEOLOGICI C/O CANTIERE SITO IN VIA PETROCCO - FOSSA (AQ). COMMITTENTE: CONSORZIO MANCINOTTI. PROGETTO DI DEMOLIZIONE E RICOSTRUZIONE DELL'AGGREGATO EDILIZIO DENOMINATO " CONSORZIO MANCINOTTI" DANNEGGIATO DAL SISMA DEL 6 APRILE 2009. AGGREGATO STRUTTURALE N.4400118-AGGREGATO ESTERNO ALLA PERIMETRAZIONE N.66. RIF. CATASTALI: FG.7 PARTICELLA N. 152. CUP: H53G14000080001. COMMITTENTE SIG. FABIO MANCINOTTI (PRESIDENTE AGGREGATO); PROGETTI E D.L. ARCH.ROBERTA BOCCABELLA; DIREZIONE LAVORI STRUTTURALI E D.L. DAL 22/07/2015 ING.PAOLO PELLICCIONE - COMUNE DI FOSSA (AQ)</t>
  </si>
  <si>
    <t>LIQUIDAZIONE IV SAL E SPESE TECNICHE PER LAVORI DI RIPARAZIONE E RECUPERO STRUTTURALE DEI DANNI PROCURATI DAL SISMA DEL 6 APRILE 2009 SU PALAZZO MARCHESALE - EX SEDE MUNICIPALE - COMUNE DI TOSSICIA (TE)</t>
  </si>
  <si>
    <t>EROGAZIONE FONDI PER SPESE LAVORI MANUTENZIONE STRAORDINARIA INTERVENTI DI RIPARAZIONE MAP 3 COLLARANO, 29 SUBEQUANA, 2 E 4 TATOZZI - COMUNE DI SAN DEMETRIO NE' VESTINI (AQ)</t>
  </si>
  <si>
    <t>EROGAZIONE FONDI PER SPESE LAVORI MANUTENZIONE STRAORDINARIA "SPURGO RETE FOGNARIA MAP 22 E 23 LOC. CARDAMONE" - COMUNE DI SAN DEMETRIO NE' VESTINI (AQ)</t>
  </si>
  <si>
    <t>EROGAZIONE ACCONTO COMPETENZE TECNICHE PROGETTAZIONE RELATIVO AL PROGETTO DEFINITIVO ESECUTIVO PER LA MESSA IN SICUREZZA DI UN PERCORSO PEDONALE ALL'INTERNO DELLA PERIMETRAZIONE DEL PDR DA VIA SAN DEMETRIO A VIA ROMA - COMUNE DI POGGIO PICENZE (AQ)</t>
  </si>
  <si>
    <t>EROGAZIONE FONDI PER LIQUIDAZIONE STATO FINALE DELLA SPESA RELATIVA AL PROGETTO DEFINITIVO/ESECUTIVO RELATIVO AI LAVORI DI RIPARAZIONE E MIGLIORAMENTO SISMICO DEL MUSEO M.A.A.G. SITO NEL COMUNE DI CASTEL DI IERI (AQ)</t>
  </si>
  <si>
    <t>PRESA D'ATTO VARIANTE, TRASFERIMENTO RISORSE SAL FINALE LAVORI E INCENTIVO ART. 92 D.LGS 163/2006 CORRELATO AL PROGETTO DEFINITIVO/ESECUTIVO RELATIVO ALL'INTERVENTO DI RECUPERO CONSERVATIVO E RIPRISTINO FUNZIONALE DELL'EX CONVENTO DI SAN SEBASTIANO A CORBELLINO - PRIMO LOTTO FUNZIONALE - COMUNE DI FAGNANO ALTO (AQ)</t>
  </si>
  <si>
    <t>Comune di Pianella</t>
  </si>
  <si>
    <t>CF 00225910686</t>
  </si>
  <si>
    <t>ACQUISIZIONE RENDICONTAZIONE PRIMO TRASFERIMENTO E SECONDO TRASFERIMENTO FONDI EDILIZIA SCOLASTICA - SCUOLE D'ABRUZZO - IL FUTURO IN SICUREZZA - "INTERVENTI DI MIGLIORAMENTO SISMICO DELLA SCUOLA PRIMARIA CERRATINA" DI PIANELLA VIA TRIESTE N.36. INTERVENTO INDICATO AL N.123 DELL'ALLEGATO AL D.C.D.N.89/2011 CUP B47E11000110001 - CIG 63172095C7 PROTOCOLLO NORMALIZZATO PE-PNL-OOPP-01293 (PE)</t>
  </si>
  <si>
    <t>Comune di Chieti</t>
  </si>
  <si>
    <t>CF 00098000698</t>
  </si>
  <si>
    <t>EROGAZIONE FONDI PER INTERVENTI DI RICOSTRUZIONE PRIVATA COMUNI "FUORI CRATERE" EX DELIBERA CIPE 22/2015 DEL 20/02/2015 (GU 140 DEL 19/06/2015)- COMUNE DI CHIETI (CH)</t>
  </si>
  <si>
    <t>EROGAZIONE FONDI CORRELATI AL IV SAL DI FONDI CONNESSI AL PROGETTO DEFINITIVO/ESCUTIVO PER INTERVENTO DI RIPARAZIONE DEI CIMITERI COMUNALI DI VILLA SANTA LUCIA DEGLI ABRUZZI (AQ)</t>
  </si>
  <si>
    <t>EROGAZIONE ACCONTO COMPETENZE TECNICHE PROGETTAZIONE RELATIVE AL PROGETTO DEFINITIVO-ESECUTIVO CONCERNENTE L'INTERVENTO DI RISANAMENTO STRUTTURALE E FUNZIONALE DEL CIMITERO - COMUNE DI POGGIO PICENZE (AQ)</t>
  </si>
  <si>
    <t>EROGAZIONE FONDI PER LIQUIDAZIONE I SAL CORRELATO AL PROGETTO DEFINITIVO-ESECUTIVO RELATIVO ALL'INTERVENTO DI ADEGUAMENTO STRUTTURALE E RISTRUTTURAZIONE DELLA CASA COMUNALE - COMUNE DI CIVITELLA CASANOVA (PE)</t>
  </si>
  <si>
    <t>EROGAZIONE FONDI PER ACCONTO SPESE TECNICHE PER LAVORI DI MESSA IN SICUREZZA DI UN'AREA SITA IN VIA MAZZINI, VIA STORTA INDIVIDUATA AL FOGLIO N.11 PARTICELLA N.219. COMUNE DI PIETRANICO (PE)</t>
  </si>
  <si>
    <t>EROGAZIONE FONDI SAL UNICO RELATIVO AL PROGETTO DEFINITIVO ESECUTIVO PER INTERVENTI DI MANUTENZIONE STRAORDINARIA DEGLI ALLOGGI M.A.P.- COMUNE DI SANT'EUSANIO FORCONESE (AQ)</t>
  </si>
  <si>
    <t>Comune di Penna Sant'Andrea</t>
  </si>
  <si>
    <t>CF 80005210671</t>
  </si>
  <si>
    <t>ACQUISIZIONE RENDICONTAZIONE E SECONDO TRASFERIMENTO FONDI PER ATTUAZIONE INTERVENTI IN MATERIA DI EDILIZIA SCOLASTICA - COMUNE DI PENNA SANT'ANDREA (TE) INTERVENTO INDIVIDUATO NELL'ALLEGATO AL D.C.D. N.89/2011 O ALTRA DICITURA SE RIMODULATO CUP C57H13001290002- CIG 6277349843 PROTOCOLLO NORMALIZZATO TE-PSA-OOPP-01187</t>
  </si>
  <si>
    <t>EROGAZIONE RISORSE FINALIZZATE ALLA RICOSTRUZIONE PRIVATA EX DELIBERA CIPE 135/2012, DELIBERA CIPE 23/2014 E DELIBERA CIPE 22/2015 - COMUNE DI CASTEL DEL MONTE (AQ)</t>
  </si>
  <si>
    <t>Comune di Calascio</t>
  </si>
  <si>
    <t>CF 80007890660</t>
  </si>
  <si>
    <t>EROGAZIONE SAL FINALE CORRELATO AL PROGETTO ESECUTIVO RELATIVO AD INTERVENTO DI SISTEMAZIONE E MESSA IN SICUREZZA DEI RUDERI SITI A ROCCA CALASCIO IN SEGUITO AL SISMA DEL 06/04/2009. COMUNE DI CALASCIO (AQ)</t>
  </si>
  <si>
    <t>Comune di Teramo</t>
  </si>
  <si>
    <t>CF 00174750679</t>
  </si>
  <si>
    <t>APPROVAZIONE DEL PROGETTO PRELIMINARE E PRIMO TRASFERIMENTO FONDI PER ATTUAZIONE INTERVENTI IN MATERIA DI EDILIZIA SCOLASTICA. COMUNE DI TERAMO (TE). SCUOLA MATERNA E ASILO NIDO IN VIA DIAZ. INTERVENTO INDIVIDUATO NELL'ALLEGATO ELENCO DELIBERA CIPE N.85/2013 N.138 CUP D46J14000040002 - PROTOCOLLO NORMALIZZATO TE-TER-OOPP-01402</t>
  </si>
  <si>
    <t>ACQUISIZIONE RENDICONTAZIONE PRIMA RATA, RENDICONTAZIONE ACCONTO SECONDO TRASFERIMENTO E TRASFERIMENTO A SALDO DELLA SECONDA RATA PER ATTUAZIONE INTERVENTI IN MATERIA DI EDILIZIA SCOLASTICA - NUOVA COSTRUZIONE DI UN COMPLESSO SCOLASTICO DESTINATO AD OSPITARE LA SCUOLA PRIMARIA E SECONDARIA DI PRIMO GRADO ED UNA PALESTRA AD USO COMUNE. INTERVENTO INDIVIDUATO AL N.53 DELL'ALLEGATO AL D.C.D. N.89/2011, E AL N.46 DELL'ALLEGATO RIMODULATO APPROVATO CON DELIBERA N.85/2013. CUP: I29H1100040000, CIG: 60723559DC, PROTOCOLLO NORMALIZZATO: AQ-RAN-OOPP-01270- COMUNE DI RAIANO (AQ)</t>
  </si>
  <si>
    <t>EROGAZIONE RISORSE FINALIZZATE ALLA RICOSTRUZIONE PRIVATA EX DELIBERA DELIBERA CIPE 23/2014 E DELIBERA CIPE 22/2015 - COMUNE DI BARISCIANO (AQ)</t>
  </si>
  <si>
    <t>Comune di Montefino</t>
  </si>
  <si>
    <t>CF 81000330670</t>
  </si>
  <si>
    <t>EROGAZIONE FONDI PER INTERVENTI DI RICOSTRUZIONE PRIVATA COMUNI "FUORI CRATERE" EX DELIBERA CIPE 22/2015 DEL 20/02/2015 (GU 140 DEL 19/06/2015)- COMUNE DI MONTEFINO (TE)</t>
  </si>
  <si>
    <t>EROGAZIONE RISORSE FINALIZZATE ALLA RICOSTRUZIONE PRIVATA EX DELIBERA CIPE 135/2012, CIPE 23/2014 E DELIBERA CIPE 22/2015 - COMUNE DI TORRE DE' PASSERI (PE)</t>
  </si>
  <si>
    <t>CODFIN CIPE135/2012 CIPE23/2014 CIPE 22/2015</t>
  </si>
  <si>
    <t>RENDICONTAZIONE CO.CO.CO. (GENNAIO-APRILE 2016)</t>
  </si>
  <si>
    <t>RENDICONTAZIONE CO.CO.CO. (LUGLIO - DICEMBRE 2015)</t>
  </si>
  <si>
    <t>CODFIN CIPE22art6c2</t>
  </si>
  <si>
    <t>RENDICONTAZIONE TRASLOCO E DEPOSITO TEMPORANEO DEL MOBILIO (GENNAIO 2016)</t>
  </si>
  <si>
    <t>RENDICONTAZIONE TRASLOCO E DEPOSITO TEMPORANEO DEL MOBILIO (SETTEMBRE 2015-APRILE 2016)</t>
  </si>
  <si>
    <t>RENDICONTAZIONE TRASLOCO E DEPOSITO TEMPORANEO DEL MOBILIO (MAGGIO 2016)</t>
  </si>
  <si>
    <t>LOCAZIONE TEMPORANEA ALLOGGI (APRILE 2016)</t>
  </si>
  <si>
    <t>CONTRIBUTO AUTONOMA SISTEMAZIONE (DICEMBRE 2015 E GENNAIO 2016)</t>
  </si>
  <si>
    <t>CONTRIBUTO AUTONOMA SISTEMAZIONE (APRILE-MAGGIO 2016)</t>
  </si>
  <si>
    <t>LOCAZIONE TEMPORANEA ALLOGGI (GENNAIO-APRILE 2016)</t>
  </si>
  <si>
    <t>CONTRIBUTO AUTONOMA SISTEMAZIONE (DICEMBRE 2014-GENNAIO 2016)</t>
  </si>
  <si>
    <t>CONTRIBUTO AUTONOMA SISTEMAZIONE (FEBBRAIO-APRILE 2016)</t>
  </si>
  <si>
    <t>RENDICONTAZIONE TRASLOCO E DEPOSITO TEMPORANEO DEL MOBILIO (LUGLIO 2015, SETTEMBRE, OTTOBRE E NOVEMBRE 2015)</t>
  </si>
  <si>
    <t>EROGAZIONE FONDI STATO FINALE PER COMPLETAMENTO LAVORI DI CONSOLIDAMENTO DEL CORPO STRADALE S.S. 81 KM.55+500 - COMUNE DI PENNA SANT'ANDREA (TE)</t>
  </si>
  <si>
    <t>EROGAZIONE FONDI I SAL RELATIVO AL PROGETTO DEFINITIVO-ESECUTIVO DI LAVORI DI MANUTENZIONE STRAORDINARIA -CIRCOLO CULTURALE- COMUNE DI SAN PIO DELLE CAMERE (AQ)</t>
  </si>
  <si>
    <t>EROGAZIONE FONDI PER PROGETTAZIONE DEFINITIVA-ESECUTIVA RELATIVI AL PROGETTO DEFINITIVO ESECUTIVO PER INTERVENTI DI MANUTENZIONE STRAORDINARIA DEGLI ALLOGGI M.A.P. - COMUNE DI SANT'EUSANIO FORCONESE (AQ)</t>
  </si>
  <si>
    <t>EROGAZIONE FONDI SAL UNICO RELATIVO AL PROGETTO DEFINITIVO ESECUTIVO PER INTERVENTI DI MANUTENZIONE STRAORDINARIA DEGLI ALLOGGI M.A.P. - COMUNE DI SAN PIO DELLE CAMERE E FRAZIONE DI CASTELNUOVO (AQ)</t>
  </si>
  <si>
    <t>EROGAZIONE FONDI SAL FINALE E SPESE TECNICHE CORRELATI AL PROGETTO DEFINITIVO/ESECUTIVO PER INTERVENTO DI RIPARAZIONE DANNI E MIGLIORAMENTO SISMICO DEL CIMITERO DI SAN PIO DELLE CAMERE (AQ)</t>
  </si>
  <si>
    <t>EROGAZIONE FONDI PER ACCONTO SPESE TECNICHE RELATIVE AL PROGETTO DEFINITIVO-ESECUTIVO "LAVORI DI DEMOLIZIONE E RICOSTRUZIONE SEDE COMUNALE" - COMUNE DI SAN PIO DELLE CAMERE (AQ)</t>
  </si>
  <si>
    <t>EROGAZIONE FONDI PER SPESE LAVORI MANUTENZIONE STRAORDINARIA INTERVENTI DI RIPARAZIONE MAP N.23 IN LOCALITA' TATOZZI - COMUNE DI SAN DEMETRIO NE' VESTINI (AQ)</t>
  </si>
  <si>
    <t>EROGAZIONE FONDI PER INTERVENTI DI RICOSTRUZIONE PRIVATA COMUNI "FUORI CRATERE" EX DELIBERA CIPE 22/2015 DEL 20/02/2015 (GU 140 DEL 19/06/2015)- COMUNE DI CARPINETO DELLA NORA (PE)</t>
  </si>
  <si>
    <t>EROGAZIONE FONDI A TITOLO DI ACCONTO CONNESSI AL PROGETTO DEFINITIVO/ESECUTIVO DI RISTRUTTURAZIONE DEL COMPLESSO CIMITERIALE DELLA CHIESA DI SANTA MARIA IN CERULIS SITA NEL COMUNE DI NAVELLI (AQ)</t>
  </si>
  <si>
    <t>EROGAZIONE RISORSE FINALIZZATE ALLA RICOSTRUZIONE PRIVATA EX DELIBERA CIPE 135/2012, CIPE 23/2014 E DELIBERA CIPE 22/2015 - COMUNE DI ACCIANO (AQ)</t>
  </si>
  <si>
    <t>CODFIN CIPE135/2012 CIPE22/2015</t>
  </si>
  <si>
    <t>EROGAZIONE RISORSE FINALIZZATE ALLA RICOSTRUZIONE PRIVATA EX DELIBERA CIPE 135/2012, CIPE 23/2014 E DELIBERA CIPE 22/2015 - COMUNE DI TIONE DEGLI ABRUZZI (AQ)</t>
  </si>
  <si>
    <t>CODFIN CIPE22/2015</t>
  </si>
  <si>
    <t>EROGAZIONE FONDI PER INTERVENTI DI RICOSTRUZIONE PRIVATA COMUNI "FUORI CRATERE" EX DELIBERA CIPE 22/2015 DEL 20/02/2015 (GU 140 DEL 19/06/2015) E DELIBERA CIPE 50/2013 DEL 02/08/2013 (GU 279 DEL 28/11/2013) - COMUNE DI BISENTI (TE)</t>
  </si>
  <si>
    <t>CODFIN CIPE 50/2013 CIPE22/2015</t>
  </si>
  <si>
    <t>EROGAZIONE RISORSE FINALIZZATE ALLA RICOSTRUZIONE PRIVATA EX DELIBERA CIPE 23/2014 E DELIBERA CIPE 22/2015 - COMUNE DI NAVELLI (AQ)</t>
  </si>
  <si>
    <t>CODFIN CIPE23/2014 CIPE22/2015</t>
  </si>
  <si>
    <t>EROGAZIONE FONDI PER INTERVENTI DI RICOSTRUZIONE PRIVATA COMUNI "FUORI CRATERE" EX DELIBERA CIPE 22/2015 DEL 20/02/2015 (GU 140 DEL 19/06/2015) - COMUNE DI ROSCIANO (PE)</t>
  </si>
  <si>
    <t>EROGAZIONE FONDI PER REDAZIONE PIANO DI RICOSTRUZIONE CASTELLI (TE)</t>
  </si>
  <si>
    <t>EROGAZIONE FONDI A TITOLO DI RIMBORSO SPESE SOSTENUTE PER TRASLOCO AULE DIDATTICHE E SEGRETERIA DELL'EDIFICIO SCOLASTICO ADIBITO A SCUOLA ELEMENTARE SITO A NAVELLI CAPOLUOGO - COMUNE DI NAVELLI (AQ)</t>
  </si>
  <si>
    <t>EROGAZIONE FONDI PER PROGETTO DI INTERVENTO EDUCATIVO " DOVE NASCONO I GIGANTI", II ANNUALITA'</t>
  </si>
  <si>
    <t>CODFIN CIPE135art1c6 CIPE22art6c2</t>
  </si>
  <si>
    <t>EROGAZIONE FONDI I SAL - LAVORI DI RIPARAZIONE E MIGLIORAMENTO SISMICO EDIFICIO COMUNALE DI BARANO ADIBITO A MUSEO CIVICO CITTADINO - COMUNE DI TORNIMPARTE (AQ)</t>
  </si>
  <si>
    <t>EROGAZIONE FONDI I SAL RELATIVO AL PROGETTO ESECUTIVO CORRELATO AI LAVORI DI RIPARAZIONE DEI DANNI CAUSATI DAL SISMA DEL 06/04/2009 E RISTRUTTURAZIONE EDILE ED IMPIANTISTICA INTERNA DELL'EDIFICIO SCOLASTICO SITO SULLA S.S. N.557-I LOTTO - COMUNE DI CAMPOTOSTO (AQ)</t>
  </si>
  <si>
    <t>EROGAZIONE FONDI A TITOLO DI ACCONTO CORRELATI AL PROGETTO DEFINITIVO RELATIVO ALL'INTERVENTO DI RIPARAZIONE EDILIZIA CIMITERIALE - COMUNE DI SANTO STEFANO DI SESSANIO (AQ)</t>
  </si>
  <si>
    <t>ACQUISIZIONE DOCUMENTAZIONE RENDICONTAZIONE PER ATTIVITA' DI RIMOZIONE AMIANTO FRAZ.CASTELNUOVO FATTURA E RELAZIONE FINALE, OPERE DI TRASPORTO E SMALTIMENTO A DISCARICA DEI RIFIUTI DI ALTRE CATEGORIE DIVERSE DA QUELLE DI CUI AL CODICE CER 17.09.04 - EROGAZIONE FONDI A FAVORE DEL COMUNE DI SAN PIO DELLE CAMERE - FRAZIONE CASTELNUOVO</t>
  </si>
  <si>
    <t>EROGAZIONE FONDI CONNESSI AL III SAL RELATIVO AL PROGETTO DEFINITIVO E DELLA SPESA PER L'INTERVENTO DI RIPARAZIONE DELL'EDIFICIO COMUNALE POLIVALENTE "PALAZZO TINOZZI" DEL COMUNE DI CUGNOLI (PE)</t>
  </si>
  <si>
    <t>EROGAZIONE FONDI PER LIQUIDAZIONE SALDO FINALE SPESE TECNICHE RELATIVE AL PROGETTO DEFINITIVO/ESECUTIVO CORRELATO AI LAVORI DI RIPARAZIONE E MIGLIORAMENTO SISMICO DEL MUSEO M.A.A.G. SITO NEL COMUNE DI CASTEL DI IERI (AQ)</t>
  </si>
  <si>
    <t>CONTRIBUTO AUTONOMA SISTEMAZIONE (MAGGIO 2016)</t>
  </si>
  <si>
    <t>CODFIN CIPE135a1c1 CIPE78a1c1</t>
  </si>
  <si>
    <t>CONTRIBUTO AUTONOMA SISTEMAZIONE (MAGGIO - GIUGNO 2016)</t>
  </si>
  <si>
    <t>CONTRIBUTO AUTONOMA SISTEMAZIONE (AGOSTO 2015 - MAGGIO 2016 )</t>
  </si>
  <si>
    <t>CONTRIBUTO AUTONOMA SISTEMAZIONE (GIUGNO 2016 )</t>
  </si>
  <si>
    <t>CONTRIBUTO AUTONOMA SISTEMAZIONE (APRILE - MAGGIO 2016)</t>
  </si>
  <si>
    <t>CONTRIBUTO AUTONOMA SISTEMAZIONE (GIUGNO 2016)</t>
  </si>
  <si>
    <t>CONTRIBUTO AUTONOMA SISTEMAZIONE (GENNAIO-MAGGIO 2016)</t>
  </si>
  <si>
    <t>CONTRIBUTO AUTONOMA SISTEMAZIONE (MARZO-GIUGNO 2016)</t>
  </si>
  <si>
    <t>CONTRIBUTO AUTONOMA SISTEMAZIONE (INTEGRAZIONE AGOSTO-NOVEMBRE 2015 E DICEMBRE 2015-MAGGIO 2016)</t>
  </si>
  <si>
    <t>CONTRIBUTO AUTONOMA SISTEMAZIONE (MAGGIO-GIUGNO 2016)</t>
  </si>
  <si>
    <t>CONTRIBUTO AUTONOMA SISTEMAZIONE (GENNAIO 2015 - AGOSTO 2016)</t>
  </si>
  <si>
    <t>CONTRIBUTO AUTONOMA SISTEMAZIONE (INTEGRAZIONE NOVEMBRE 2015-APRILE 2016)</t>
  </si>
  <si>
    <t>CONTRIBUTO AUTONOMA SISTEMAZIONE (FEBBRAIO - MAGGIO 2016)</t>
  </si>
  <si>
    <t>Comune di Vittorito</t>
  </si>
  <si>
    <t>CF 83000790663</t>
  </si>
  <si>
    <t>CONTRIBUTO AUTONOMA SISTEMAZIONE (MAGGIO 2015 - DICEMBRE 2015)</t>
  </si>
  <si>
    <t>LOCAZIONE TEMPORANEA ALLOGGI (MAGGIO 2016)</t>
  </si>
  <si>
    <t>RENDICONTAZIONE TRASLOCO E DEPOSITO TEMPORANEO DEL MOBILIO (APRILE 2016)</t>
  </si>
  <si>
    <t>RENDICONTAZIONE TRASLOCO E DEPOSITO TEMPORANEO DEL MOBILIO (MARZO E APRILE 2016)</t>
  </si>
  <si>
    <t>RENDICONTAZIONE TRASLOCO E DEPOSITO TEMPORANEO DEL MOBILIO (AGOSTO 2015, OTTOBRE 2015, APRILE 2016)</t>
  </si>
  <si>
    <t>RENDICONTAZIONE TRASLOCO E DEPOSITO TEMPORANEO DEL MOBILIO (MAGGIO - NOVEMBRE 2015)</t>
  </si>
  <si>
    <t>RENDICONTAZIONE TRASLOCO E DEPOSITO TEMPORANEO DEL MOBILIO (GENNAIO E MAGGIO 2016)</t>
  </si>
  <si>
    <t>CODFIN CIPE135a1c6 CIPE22a6c2</t>
  </si>
  <si>
    <t>RENDICONTAZIONE CO.CO.CO. (INTEGRAZIONE GENNAIO-DICEMBRE 2015)</t>
  </si>
  <si>
    <t>RENDICONTAZIONE CO.CO.CO. (MARZO-APRILE 2016)</t>
  </si>
  <si>
    <t>RENDICONTAZIONE CO.CO.CO. (MARZO E APRILE 2016)</t>
  </si>
  <si>
    <t>PRESTAZIONI OCCASIONALI RELATIVE ALL'ISTRUTTORIA DELLE PRATICHE DI RICOSTRUZIONE DEI COMUNI FUORI CRATERE INDIRIZZATE VERSO GLI U.T.R. (FEBBRAIO 2016)</t>
  </si>
  <si>
    <t>Comune di Giuliano Teatino</t>
  </si>
  <si>
    <t>CF 00239020696</t>
  </si>
  <si>
    <t>ACQUISIZIONE RENDICONTAZIONE PRIMA RATA DI ACCONTO E SECONDO TRASFERIMENTO FONDI PER ATTUAZIONE INTERVENTI IN MATERIA DI EDILIZIA SCOLASTICA - INTERVENTO INDIVIDUATO AL N.79 DELL'ALLEGATO AL D.C.D. N.89/2011, E AL N.96 DELL'ALLEGATO RIMODULATO APPROVATO CON DELIBERA N.85/2013. CUP: F98D13000010005 - CIG 6345386°2B PROTOCOLLO NORMALIZZATO CH-GTT-OOPP-01698 COMUNE DI GIULIANO TEATINO (CH)</t>
  </si>
  <si>
    <t>Comune di Collelongo</t>
  </si>
  <si>
    <t>CF 00190850669</t>
  </si>
  <si>
    <t>ACQUISIZIONE DOCUMENTAZIONE ATTA ALLA RENDICONTAZIONE PRIMO TRASFERIMENTO E SECONDO TRASFERIMENTO FONDI PER ATTUAZIONE INTERVENTI IN MATERIA DI EDILIZIA SCOLASTICA. COMUNE DI COLLELONGO (AQ). SCUOLA MEDIA ELEMENTARE E MATERNA - INTERVENTO INDIVIDUATO NELL'ALLEGATO AL D.C.D. N.89/2011 NELL'ELENCO RELATIVO AL III° PIANO DI INTERVENTI IN MATERIA DI EDILIZIA SCOLASTICA DI CUI ALLA DELIBERA CIPE N.47/2009 CUP D97E13000380001 - CIG 6166276BEB PROTOCOLLO NORMALIZZATO AQ-CLL-OOPP-04306</t>
  </si>
  <si>
    <t>APPROVAZIONE DEL PROGETTO, DELLA SPESA E PRIMO TRASFERIMENTO FONDI PER ATTUAZIONE INTERVENTI IN MATERIA DI EDILIZIA SCOLASTICA. PROVINCIA DI TERAMO (TE). I.P.S.I.A. "E.MARINO" - INTERVENTO INDIVIDUATO NELL'ALLEGATO AL N.162 DEL D.C.D.N.89/2011 E AL N. 142 DELL'ALLEGATO RIMODULATI DI CUI ALLA DELIBERA N.85/2013 CUP E44H14000030001 - PROTOCOLLO NORMALIZZATO TE-PROVTE-OOPP-01429</t>
  </si>
  <si>
    <t>TRASFERIMENTO FONDI PER ATTUAZIONE INTERVENTI IN MATERIA DI EDILIZIA SCOLASTICA. COMUNE DI SAN DEMETRIO NE' VESTINI (AQ). - "SCUOLA ELEMENTARE E MEDIA F.ROSSI" INTERVENTO INDIVIDUATO AL N.54 DELL'ALLEGATO AL D.C.D.N.89/2011, CUP J31E15000100001 PROTOCOLLO NORMALIZZATO AQ-SDV-OOPP-04501</t>
  </si>
  <si>
    <t>EROGAZIONE FONDI CORRELATI ALL'ACCONTO SPESE TECNICHE RELATIVE AL PROGETTO DEFINITIVO/ESECUTIVO PER INTERVENTO DI RIPARAZIONE DEI CIMITERI COMUNALI DI VILLA SANTA LUCIA DEGLI ABRUZZI (AQ)</t>
  </si>
  <si>
    <t>EROGAZIONE FONDI A TITOLO DI ACCONTO RELATIVI AL PROGETTO DEFINITIVO E DELLA SPESA PER L'INTERVENTO DI RIPARAZIONE EDILIZIA CIMITERIALE DEL COMUNE DI FANO ADRIANO (TE)</t>
  </si>
  <si>
    <t>EROGAZIONE FONDI STATO FINALE, SPESE TECNICHE, RUP RELATIVI AL PROGETTO ESECUTIVO PER INTERVENTO POST-SISMA SU UN EDIFICIO ADIBITO AD ABITAZIONE (ESITO DI AGIBILITÀ "B") SITO IN VIA ROMA FG.7, PART. 1641, SUB 2-3 COMUNE DI GORIANO SICOLI -II LOTTO (AQ)</t>
  </si>
  <si>
    <t>EROGAZIONE FONDI PER SPESE SOSTENUTE PER LAVORI MANUTENZIONE STRAORDINARIA - INTERVENTI DI RIPARAZIONE PER LAVORI DI SOMMA URGENZA RIPARAZIONE MANTO DI COPERTURA DEI MAP DEL CAPOLUOGO COMUNE DI PRATA D'ANSIDONIA (AQ)</t>
  </si>
  <si>
    <t>EROGAZIONE RISORSE FINALIZZATE ALLA RICOSTRUZIONE PRIVATA EX DELIBERA CIPE 23/2014 E DELIBERA CIPE 22/2015 - COMUNE DI CAPESTRANO (AQ)</t>
  </si>
  <si>
    <t>LIQUIDAZIONE COMPETENZE COLLAUDO STATICO PER LAVORI DI RIPARAZIONE E RECUPERO STRUTTURALE DEI DANNI PROCURATI DAL SISMA DEL 6 APRILE 2009 SU PALAZZO MARCHESALE-EX SEDE MUNICIPALE-COMUNE DI TOSSICIA (TE)</t>
  </si>
  <si>
    <t>EROGAZIONE FONDI A TITOLO DI ACCONTO RELATIVI AL PROGETTO ESECUTIVO DI RECUPERO E VALORIZZAZIONE DELLA TORRE MEDIEVALE DANNEGGIATA DAL SISMA DEL 06/04/2009 SITA NEL COMUNE DI COCULLO (AQ)</t>
  </si>
  <si>
    <t>LIQUIDAZIONE GESTIONE BUSTE PAGA PERSONALE ANNO 2015</t>
  </si>
  <si>
    <t>CODFIN CAP.1359 TABELLA 08 MIN.INT.</t>
  </si>
  <si>
    <t>EROGAZIONE FONDI A TITOLO DI ACCONTO RELATIVI AL PROGETTO DEFINITIVO/ESECUTIVO RELATIVO ALL'INTERVENTO DI RIPARAZIONE EDILIZIA CIMITERIALE UBICATA NEL COMUNE DI GORIANO SICOLI (AQ)</t>
  </si>
  <si>
    <t>EROGAZIONE FONDI I SAL CORRELATI AL PROGETTO DEFINITIVO RELATIVO ALL'INTERVENTO DI MESSA IN SICUREZZA NELLA GESTIONE ORDINARIA POST-SISMA - COMUNE DI ACCIANO E FRAZIONI DI SUCCIANO E ROCCAPRETURO (AQ)</t>
  </si>
  <si>
    <t>EROGAZIONE FONDI FINALIZZATI ALLA LIQUIDAZIONE DEI LAVORI DI ASSISTENZA ARCHEOLOGICA RINVENIMENTI ARCHEOLOGICI C/O CANTIERE DENOMINATO AGGREGATO EDILIZIO "CONSORZIO OSTERIA- PETROCCO" DANNEGGIATO DAL SISMA DEL 6 APRILE 2009. FG. 7 PARTICELLE NN. 128, 135, 136, 137 DPC 4400337. LAVORI DI SOSTITUZIONE EDILIZIA IN ZONA INTERESSATA DA VINCOLO ARCHEOLOGICO INDIRETTO AI SENSI DEL D. LGS. N. 42 DEL 2004. PRESIDENTE DEL CONSORZIO E RESPONSABILE DEI LAVORI ARCH. ROBERTA BOCCABELLA, ING. VINCENZO DELLI CARPINI. IMPRESA ESECUTRICE COGET S.R.L. COOR. SICUREZZA IN ESECUZIONE ING. UGO TOTO - COMUNE DI FOSSA (AQ)</t>
  </si>
  <si>
    <t>LIQUIDAZIONE COMPETENZE TECNICHE PROGETTAZIONE RELATIVE AL PROGETTO PRELIMINARE CORRELATO ALLA REALIZZAZIONE DELL'INTERVENTO DI MESSA IN SICUREZZA DI VIA SAN GIOVANNI - COMUNE DI OFENA (AQ)</t>
  </si>
  <si>
    <t>EROGAZIONE FONDI PER INTERVENTI DI RICOSTRUZIONE PRIVATA COMUNI "FUORI CRATERE" EX DELIBERA CIPE 22/2015 DEL 20/02/2015 (GU 140 DEL 19/06/2015)- COMUNE DI CASTILENTI (TE)</t>
  </si>
  <si>
    <t>Comune di Corropoli</t>
  </si>
  <si>
    <t>CF 82002820676</t>
  </si>
  <si>
    <t>EROGAZIONE FONDI PER INTERVENTI DI RICOSTRUZIONE PRIVATA COMUNI "FUORI CRATERE" EX DELIBERA CIPE 22/2015 DEL 20/02/2015 (GU 140 DEL 19/06/2015)- COMUNE DI CORROPOLI (TE)</t>
  </si>
  <si>
    <t>CODFIN CIPE 135/2012 CIPE50/2013 CIPE22/2015</t>
  </si>
  <si>
    <t>EROGAZIONE FONDI PER INTERVENTI DI RICOSTRUZIONE PRIVATA COMUNI "FUORI CRATERE" EX DELIBERA CIPE 22/2015 DEL 20/02/2015 (GU 140 DEL 19/06/2015) - COMUNE DI TOCCO DA CASAURIA (PE)</t>
  </si>
  <si>
    <t>Cineas</t>
  </si>
  <si>
    <t>EROGAZIONE FONDI PER ONERI RELATIVI ALLE ATTIVITA' ISTRUTTORIE - PROT.USRC 4041 DEL 01/08/2016</t>
  </si>
  <si>
    <t>EROGAZIONE FONDI PER ONERI RELATIVI ALLE ATTIVITA' ISTRUTTORIE - PROT.USRC 4187 DEL 05/08/2016 E 4191 DEL 05/08/2016</t>
  </si>
  <si>
    <t>EROGAZIONE I SAL ED ACCONTO COMPETENZE TECNICHE PER L'INTERVENTO DI RIPARAZIONE DEI DANNI CONSEGUENTI AL SISMA DEL 6 APRILE 2009 RELATIVI AL MURO DI CONTENIMENTO DI VIALE DELLA VITTORIA - COMUNE DI CASTEL DEL MONTE (AQ)</t>
  </si>
  <si>
    <t>EROGAZIONE RISORSE FINALIZZATE ALLA RICOSTRUZIONE PRIVATA EX DELIBERA CIPE 135/2012, CIPE 23/2014 E DELIBERA CIPE 22/2015 - COMUNE DI VILLA SANT'ANGELO (AQ)</t>
  </si>
  <si>
    <t>CODFIN CIPE 135/2012 CIPE 23/2014</t>
  </si>
  <si>
    <t>EROGAZIONE FONDI A RENDICONTAZIONE DI SPESE SOSTENUTE PER RIMOZIONE SITUAZIONI DI PERICOLO:"LAVORI DI MESSA IN SICUREZZA FABBRICATO IN LOCALITÀ COLLE E FABBRICATO IN VIA DEL CALVARIO." SAN DEMETRIO NE' VESTINI (AQ)</t>
  </si>
  <si>
    <t>EROGAZIONE FONDI A RENDICONTAZIONE DI SPESE SOSTENUTE PER RIMOZIONE SITUAZIONI DI PERICOLO:"LAVORI DI MESSA IN SICUREZZA FABBRICATO IN LOCALITÀ SAN GIOVANNI" SAN DEMETRIO NE' VESTINI (AQ)</t>
  </si>
  <si>
    <t>EROGAZIONE FONDI PER LIQUIDAZIONE I SAL PER INTERVENTI DI RIPRISTINO DELL'ACCESSIBILITÀ E DELLA FRUIBILITÀ DEGLI SPAZI PUBBLICI E DELLE PUBBLICHE VIE DEL COMUNE DI PRATA D'ANSIDONIA (AQ)</t>
  </si>
  <si>
    <t>EROGAZIONE FONDI PER INTERVENTI DI RICOSTRUZIONE PRIVATA COMUNI "FUORI CRATERE" EX DELIBERA CIPE 22/2015 DEL 20/02/2015 (GU 140 DEL 19/06/2015) - COMUNE SCAFA (PE)</t>
  </si>
  <si>
    <t>EROGAZIONE RISORSE FINALIZZATE ALLA RICOSTRUZIONE PRIVATA EX DELIBERA CIPE 23/2014 E DELIBERA CIPE 22/2015 - COMUNE DI CUGNOLI (PE)</t>
  </si>
  <si>
    <t>CODFIN CIPE 23/2014 CIPE 22/2015</t>
  </si>
  <si>
    <t>Comune di Castel Castagna</t>
  </si>
  <si>
    <t>CF 80006810677</t>
  </si>
  <si>
    <t>EROGAZIONE FONDI PER INTERVENTI DI RICOSTRUZIONE PRIVATA COMUNI "FUORI CRATERE" EX DELIBERA CIPE 135/2012 DEL 21/12/2012 (GU 63 DEL 15/03/2013) E DELIBERA CIPE 22/2015 DEL 20/02/2015 (GU 140 DEL 19/06/2015) - COMUNE DI CASTEL CASTAGNA (TE)</t>
  </si>
  <si>
    <t>CODFIN CIPE 135/2012 CIPE 22/2015</t>
  </si>
  <si>
    <t>EROGAZIONE FONDI II SAL RELATIVO AL PROGETTO DEFINITIVO/ESECUTIVO DI LAVORI DI REALIZZAZIONE DI UN CENTRO POLIFUNZIONALE MEDIANTE RICONVERSIONE EX MATTATOIO - COMUNE DI MONTEBELLO DI BERTONA (PE)</t>
  </si>
  <si>
    <t>EROGAZIONE FONDI II SAL PER LAVORI DI MESSA IN SICUREZZA DEL CAMPANILE DELLA CHIESA DELLA MADONNA DEI RACCOMANDATI - COMUNE DI SAN DEMETRIO NE' VESTINI (AQ)</t>
  </si>
  <si>
    <t>EROGAZIONE FONDI A TITOLO DI RIMBORSO SPESE SOSTENUTE PER INTERVENTI DI RIPRISTINO DELLE NORMALI CONDIZIONI DI ABITABILITÀ NEGLI ALLOGGI TRAMITE LAVORI DI MANUTENZIONE STRAORDINARIA DEI MAP DI SUCCIANO - COMUNE DI ACCIANO (AQ)</t>
  </si>
  <si>
    <t>EROGAZIONE FONDI PER "LAVORI DI IGIENE AMBIENTALE (DISINFEZIONE, DISINFESTAZIONE ED ASPORTAZIONE E SMALTIMENTO GUANO) PRELIMINARI ALLA REDAZIONE DEL PROGETTO DEFINITIVO OVVERO DEFINITIVO/ESECUTIVO PER LA RIPARAZIONE E MIGLIORAMENTO SISMICO DELLA PISCINA COMUNALE" - COMUNE DI OFENA (AQ)</t>
  </si>
  <si>
    <t>EROGAZIONE FONDI I SAL RELATIVI AL PROGETTO DEFINITIVO/ESECUTIVO RELATIVO ALL'INTERVENTO DI RIPARAZIONE EDILIZIA CIMITERIALE UBICATA NEL COMUNE DI GORIANO SICOLI (AQ)</t>
  </si>
  <si>
    <t>EROGAZIONE FONDI PER CONTRIBUTO ANAC CORRELATO AL PROGETTO DEFINITIVO/ESECUTIVO PER INTERVENTO DI RIPARAZIONE MURO ADIACENTE DEPOSITO E MURO IN VIA RISORGIMENTO SITI NEL COMUNE DI VILLA SANTA LUCIA DEGLI ABRUZZI (AQ)</t>
  </si>
  <si>
    <t>EROGAZIONE RISORSE FINALIZZATE ALLA RICOSTRUZIONE PRIVATA EX DELIBERA CIPE 135/2012, DELIBERA CIPE 23/2014 E DLEIBERA CIPE 22/2015 - COMUNE DI OFENA (AQ)</t>
  </si>
  <si>
    <t>EROGAZIONE ACCONTO RELATIVO AL PROGETTO DEFINITIVO/ESECUTIVO DI LAVORI DI MIGLIORAMENTO SISMICO ALA NORD DEL COMPLESSO SCOLASTICO DI P.ZZA G.PAOLINI DA ADIBIRE A SEDE DEL MUNICIPIO DEL COMUNE DI POPOLI (PE)</t>
  </si>
  <si>
    <t>EROGAZIONE SOMME PER PAGAMENTO COMPETENZE TECNICHE, FONDO EX ART. 92 D.LGS 163/2006 CORRELATE AL PROGETTO DEFINITIVO/ESECUTIVO PER INTERVENTO DI RIPARAZIONE DEI CIMITERI COMUNALI DI VILLA SANTA LUCIA DEGLI ABRUZZI (AQ)</t>
  </si>
  <si>
    <t>EROGAZIONE SOMME PER PAGAMENTO CONTRIBUTO ANAC LAVORI CORRELATO AL PROGETTO DEFINITIVO/ESECUTIVO PER INTERVENTO DI RIPARAZIONE DEI CIMITERI COMUNALI DI VILLA SANTA LUCIA DEGLI ABRUZZI (AQ)</t>
  </si>
  <si>
    <t>EROGAZIONE FONDI RELATIVA AL PAGAMENTO CONTRIBUTO ANAC RELATIVO AL PROGETTO DEFINITIVO/ESECUTIVO DI LAVORI DI RESTAURO E CONSOLIDAMENTO CHIESA SAN NICOLA -VILLA SANTA LUCIA DEGLI ABRUZZI (AQ)</t>
  </si>
  <si>
    <t>EROGAZIONE FONDI PER PAGAMENTO CONTRIBUTO ANAC CORRELATO AL PROGETTO DEFINITIVO/ESECUTIVO RELATIVO ALL'INTERVENTO DI RISTRUTTURAZIONE E CONSOLIDAMENTO DELL'EDIFICIO FORESTERIA L'AQUILA REALE - COMUNE DI VILLA SANTA LUCIA DEGLI ABRUZZI (AQ)</t>
  </si>
  <si>
    <t>EROGAZIONE RISORSE FINALIZZATE ALLA RICOSTRUZIONE PRIVATA EX DELIBERA CIPE 135/2012, DELIBERA CIPE 23/2014 E DELIBERA CIPE 22/2015- COMUNE DI OVINDOLI (AQ)</t>
  </si>
  <si>
    <t>EERRATA CORRIGE DELLA DETERMINA 113 DEL 08/09/2016 "EROGAZIONE FONDI RELATIVI AL PROGETTO DEFINITIVO/ESECUTIVO DI LAVORI DI MIGLIORAMENTO SISMICO ALA NORD DEL COMPLESSO SCOLASTICO DI P.ZZA G.PAOLINI DA ADIBIRE A SEDE DEL MUNICIPIO DEL COMUNE DI POPOLI (PE)"</t>
  </si>
  <si>
    <t>ACQUISIZIONE DOCUMENTI ATTI ALLA RENDICONTAZIONE DELLA PRIMA RATA E TRASFERIMENTO FONDI SECONDA RATA INERENTI ALLA SOSTITUZIONE EDILIZIA DEL COMPLESSO SCOLASTICO SITO IN MONTEREALE CAPOLUOGO OSPITANTE LA SCUOLA ELEMENTARE E MEDIA - COMUNE DI MONTEREALE (AQ) - CUP I83D13000250005 DEL 28/11/2013, PROTOCOLLO NORMALIZZATO È AQ-MON-OOPP-01145</t>
  </si>
  <si>
    <t>ACQUISIZIONE DOCUMENTI ATTI ALLA RENDICONTAZIONE E SECONDO TRASFERIMENTO FONDI PER ATTUAZIONE INTERVENTI IN MATERIA DI EDILIZIA SCOLASTICA - COMUNE DI ELICE (PE). CUP G11H13000530002 DEL 27/11/2013 - PROTOCOLLO NORMALIZZATO È PE-ELC-OOPP-01043</t>
  </si>
  <si>
    <t>PRESTAZIONI OCCASIONALI RELATIVE ALL'ISTRUTTORIA DELLE PRATICHE DI RICOSTRUZIONE DEI COMUNI FUORI CRATERE INDIRIZZATE VERSO GLI U.T.R. (MAGGIO 2016)</t>
  </si>
  <si>
    <t>RENDICONTAZIONE CO.CO.CO. (MAGGIO 2016)</t>
  </si>
  <si>
    <t>RENDICONTAZIONE CO.CO.CO. (GENNAIO-MAGGIO 2016)</t>
  </si>
  <si>
    <t>RENDICONTAZIONE CO.CO.CO.(APRILE-MAGGIO 2016)</t>
  </si>
  <si>
    <t>RENDICONTAZIONE CO.CO.CO. ( LUGLIO-DICEMBRE 2015)</t>
  </si>
  <si>
    <t>RENDICONTAZIONE CO.CO.CO. (LUGLIO-DICEMBRE 2012)</t>
  </si>
  <si>
    <t>LOCAZIONE TEMPORANEA ALLOGGI (APRILE-GIUGNO 2016)</t>
  </si>
  <si>
    <t>LOCAZIONE TEMPORANEA ALLOGGI (GIUGNO-LUGLIO 2016)</t>
  </si>
  <si>
    <t>LOCAZIONE TEMPORANEA ALLOGGI (GENNAIO 2012-DICEMBRE 2015)</t>
  </si>
  <si>
    <t>LOCAZIONE TEMPORANEA ALLOGGI (NOVEMBRE 2015-GIUGNO 2016)</t>
  </si>
  <si>
    <t>Comune di Roccamorice</t>
  </si>
  <si>
    <t>CF 81000090688</t>
  </si>
  <si>
    <t>LOCAZIONE TEMPORANEA ALLOGGI (MAGGIO 2011-MARZO 2012)</t>
  </si>
  <si>
    <t>RENDICONTAZIONE TRASLOCO E DEPOSITO TEMPORANEO DEL MOBILIO (MAGGIO-GIUGNO 2016)</t>
  </si>
  <si>
    <t>RENDICONTAZIONE TRASLOCO E DEPOSITO TEMPORANEO DEL MOBILIO (MAGGIO,GIUGNO 2016)</t>
  </si>
  <si>
    <t>RENDICONTAZIONE TRASLOCO E DEPOSITO TEMPORANEO DEL MOBILIO (MAGGIO 2015,GIUGNO 2016)</t>
  </si>
  <si>
    <t>RENDICONTAZIONE TRASLOCO E DEPOSITO TEMPORANEO DEL MOBILIO (MAGGIO 2016,GIUGNO 2016,SETTEMBRE 2016)</t>
  </si>
  <si>
    <t>RENDICONTAZIONE TRASLOCO E DEPOSITO TEMPORANEO DEL MOBILIO (NOVEMBRE 2015,APRILE 2016)</t>
  </si>
  <si>
    <t>RENDICONTAZIONE TRASLOCO E DEPOSITO TEMPORANEO DEL MOBILIO (GIUGNO 2016)</t>
  </si>
  <si>
    <t>RENDICONTAZIONE TRASLOCO E DEPOSITO TEMPORANEO DEL MOBILIO (OTTOBRE-DICEMBRE 2015)</t>
  </si>
  <si>
    <t>CONTRIBUTO AUTONOMA SISTEMAZIONE (GIUGNO-LUGLIO 2016)</t>
  </si>
  <si>
    <t>CONTRIBUTO AUTONOMA SISTEMAZIONE (GENNAIO-MARZO 2016 )</t>
  </si>
  <si>
    <t>CONTRIBUTO AUTONOMA SISTEMAZIONE (APRILE-GIUGNO 2016)</t>
  </si>
  <si>
    <t>CONTRIBUTO AUTONOMA SISTEMAZIONE (INTEGRAZIONE AGOSTO 2015 -MAGGIO 2016)</t>
  </si>
  <si>
    <t>CONTRIBUTO AUTONOMA SISTEMAZIONE (INTEGRAZIONE FEBBRAIO - APRILE 2016)</t>
  </si>
  <si>
    <t>EROGAZIONE FONDI CORRELATI AL IV SAL RELATIVO AL PROGETTO DEFINITIVO DI RIPARAZIONE E MIGLIORAMENTO SISMICO DELL'EDIFICIO EX OMNI SITO NEL COMUNE DI CUGNOLI (PE)</t>
  </si>
  <si>
    <t>EROGAZIONE FONDI III SAL E PRESA D'ATTO PERIZIA DI VARIANTE A VALERE SULLA APPROVAZIONE DELLA SPESA RELATIVA AL PROGETTO DEFINITIVO DI RIPARAZIONE DEL CIMITERO COMUNALE DI CASTELVECCHIO SUBEQUO (AQ)</t>
  </si>
  <si>
    <t>EROGAZIONE FONDI II SAL CORRELATI AL PROGETTO DEFINITIVO RELATIVO ALL'INTERVENTO DI MESSA IN SICUREZZA NELLA GESTIONE ORDINARIA POST-SISMA - COMUNE DI ACCIANO E FRAZIONI DI SUCCIANO E ROCCAPRETURO (AQ)</t>
  </si>
  <si>
    <t>EROGAZIONE ACCONTO CONNESSO AL PROGETTO DEFINITIVO-ESECUTIVO "INTERVENTO DI RIPARAZIONE DANNI CAUSATI DAL SISMA DEL 06/04/2009 SU INFRASTRUTTURE PUBBLICHE COMUNALI - MURO A GRAVITÀ IN VIA D'ANNUNZIO" - COMUNE DI MONTEBELLO DI BERTONA (PE)</t>
  </si>
  <si>
    <t>ACQUISIZIONE DOCUMENTAZIONE PER RENDICONTAZIONE II RATA E TRASFERIMENTO FONDI PER COPERTURA TERZA RATA RELATIVA ALLA ATTUAZIONE DI INTERVENTI IN MATERIA DI EDILIZIA SCOLASTICA - INTERVENTO INDIVIDUATO NELL'ALLEGATO AL D. C. D. N. 89/2011 AL N. 141 E AL N. 124 DELL'ALLEGATO RIMODULATO APPROVATO CON DELIBERA N. 85/2013. CUP: C61B14000200001 PROTOCOLLO NORMALIZZATO: TE-BIS-OOPP-01487 COMUNE DI BISENTI (TE)</t>
  </si>
  <si>
    <t>EROGAZIONE FONDI SAL FINALE RELATIVO AL PROGETTO PRELIMINARE/DEFINITIVO CONCERNENTE L'INTERVENTO DI RISTRUTTURAZIONE DI OPERE EDILIZIA CIMITERIALI DI TERMIINE DI CAGNANO UBICATE NEL COMUNE DI CAGNANO AMITERNO (AQ)</t>
  </si>
  <si>
    <t>EROGAZIONE FONDI PER LA LIQUIDAZIONE SALDO DELLE SPESE TECNICHE - " INTERVENTO DI RIPARAZIONE DEI DANNI DA SISMA SULLA CASA COMUNALE" - COMUNE DI COLLEDARA (TE)</t>
  </si>
  <si>
    <t>EROGAZIONE FONDI PER INTERVENTI DI RICOSTRUZIONE PRIVATA COMUNI "FUORI CRATERE" EX DELIBERA CIPE 22/2015 DEL 20/02/2015 (GU 140 DEL 19/06/2015) E DELIBERA CIPE 50/2013 DEL 02/08/2013 (GU 279 DEL 28/11/2013 - DELIBERA CIPE 135/2012 DEL 21/12/2012 (GU 63 DEL 13/03/2013) - COMUNE DI RAIANO (AQ)</t>
  </si>
  <si>
    <t>EROGAZIONE RISORSE FINALIZZATE ALLA RICOSTRUZIONE PRIVATA EX DELIBERA CIPE 135/2012, DELIBERA CIPE 23/2014 E DELIBERA CIPE 22/2015 - COMUNE DI ROCCA DI MEZZO (AQ)</t>
  </si>
  <si>
    <t>EROGAZIONE RISORSE FINALIZZATE ALLA RICOSTRUZIONE PRIVATA EX DELIBERA CIPE 135/2012, DELIBERA CIPE 23/2014 E DELIBERA CIPE 22/2015 - COMUNE DI FONTECCHIO (AQ)</t>
  </si>
  <si>
    <t>CODFIN CIPE 23/2014</t>
  </si>
  <si>
    <t>EROGAZIONE RISORSE FINALIZZATE ALLA RICOSTRUZIONE PRIVATA EX DELIBERA CIPE 135/2012, DELIBERA CIPE 23/2014 E DELIBERA CIPE 22/2015 - COMUNE DI PIZZOLI (AQ)</t>
  </si>
  <si>
    <t>CODFIN CIPE 135/2012</t>
  </si>
  <si>
    <t>ACQUISIZIONE DOCUMENTAZIONE ATTA ALLA RENDICONTAZIONE E TRASFERIMENTO SECONDA RATA SCUOLA MEDIA CAPOLUOGO - INTERVENTO INDICATO AL N. 126 DELL'ALLEGATO AL D.C.D. N. 89/2011 - EDILIZIA SCOALSTICA - CUP B47E11000100001, PROTOCOLLO NORMALIZZATO PE-PNL-OOPP-01292 SCUOLE D'ABRUZZO - IL FUTURO IN SICUREZZA - "INTERVENTI DI MIGLIORAMENTO SISMICO DELLA SCUOLA MEDIA DEL CAPOLUOGO" DI PIANELLA (PE)</t>
  </si>
  <si>
    <t>EROGAZIONE FONDI PER INTERVENTI DI RICOSTRUZIONE PRIVATA COMUNI "FUORI CRATERE" EX DELIBERA CIPE 22/2015 DEL 20/02/2015 (GU 140 DEL 19/06/2015) E DELIBERA CIPE 50/2013 DEL 02/08/2013 (GU 279 DEL 28/11/2013) - DELIBERA CIPE 135/2012 DEL 21/12/2012 (GU 63 DEL 13/03/2013) COMUNE DI TORRICELLA SICURA (TE)</t>
  </si>
  <si>
    <t>EROGAZIONE FONDI PER INTERVENTI DI RICOSTRUZIONE PRIVATA COMUNI "FUORI CRATERE" EX DELIBERA CIPE 22/2015 DEL 20/02/2015 (GU 140 DEL 19/06/2015) E DELIBERA CIPE 50/2013 DEL 02/08/2013 (GU 279 DEL 28/11/2013) - DELIBERA CIPE 135/2012 DEL 21/12/2012 (GU 63 DEL 13/03/2013) COMUNE DI ANVERSA DEGLI ABRUZZI (AQ)</t>
  </si>
  <si>
    <t>EROGAZIONE FONDI PER INTERVENTI DI RICOSTRUZIONE PRIVATA COMUNI "FUORI CRATERE" EX DELIBERA CIPE 22/2015 DEL 20/02/2015 (GU 140 DEL 19/06/2015) - COMUNE DI CORTINO (TE)</t>
  </si>
  <si>
    <t>EROGAZIONE FONDI II SAL RELATIVO AL PROGETTO DEFINITIVO-ESECUTIVO DI LAVORI DI MANUTENZIONE STRAORDINARIA -CIRCOLO CULTURALE - COMUNE DI SAN PIO DELLE CAMERE (AQ)</t>
  </si>
  <si>
    <t>EROGAZIONE I SAL RELATIVO AL PROGETTO DEFINITIVO/ESECUTIVO CORRELATO AI LAVORI DI RIPRISTINO DEI DANNI CAUSATI DAL SISMA DEL 06/04/2009 AL CIMITERO ED ALLA CHIESA DELLA MADONNA DI LORETO - COMUNE DI CAPITIGNANO (AQ)</t>
  </si>
  <si>
    <t>EROGAZIONE FONDI A TITOLO DI ACCONTO RELATIVO AL PROGETTO DEFINITIVO DI RIPARAZIONE DANNI A SEGUITO DEGLI EVENTI SISMICI DEL 06/04/2009 E RISTRUTTURAZIONE CON MIGLIORAMENTO SISMICO DELL'EDIFICIO SEDE COMUNALE-COMUNE BARISCIANO (AQ)</t>
  </si>
  <si>
    <t>LIQUIDAZIONE SOMME A SALDO RELATIVO AL PROGETTO DEFINITIVO/ESECUTIVO DI RIPRISTINO DANNI DELL'EDILIZIA CIMITERIALE UBICATA IN OVINDOLI CAPOLUOGO E FRAZIONI (AQ)</t>
  </si>
  <si>
    <t>EROGAZIONE RISORSE FINALIZZATE ALLA RICOSTRUZIONE PRIVATA EX DELIBERA CIPE 135/2012, DELIBERA CIPE 23/2014 E DELIBERA CIPE 22/2015 - COMUNE DI CASTELVECCHIO CALVISIO (AQ)</t>
  </si>
  <si>
    <t>EROGAZIONE FONDI LIQUIDAZIONE I SAL RELATIVO AL PROGETTO ESECUTIVO DI RECUPERO E VALORIZZAZIONE DELLA TORRE MEDIOEVALE DANNEGGIATA DAL SISMA DEL 06/04/2009 SITA NEL COMUNE DI COCULLO (AQ)</t>
  </si>
  <si>
    <t>EROGAZIONE FONDI PER LIQUIDAZIONE II SAL CORRELATO AL PROGETTO DEFINITIVO-ESECUTIVO RELATIVO ALL'INTERVENTO DI ADEGUAMENTO STRUTTURALE E RISTRUTTURAZIONE DELLA CASA COMUNALE - COMUNE DI CIVITELLA CASANOVA (PE)</t>
  </si>
  <si>
    <t>Comune di Castiglione Messer Raimondo</t>
  </si>
  <si>
    <t>CF 80003890672</t>
  </si>
  <si>
    <t>EROGAZIONE FONDI PER INTERVENTI DI RICOSTRUZIONE PRIVATA COMUNI "FUORI CRATERE" EX DELIBERA CIPE 22/2015 DEL 20/02/2015 (GU 140 DEL 19/06/2015) COMUNE DI CASTIGLIONE MESSER RAIMONDO (TE)</t>
  </si>
  <si>
    <t>TRASFERIMENTO RATA DI SALDO FONDI PER ATTUAZIONE INTERVENTI IN MATERIA DI EDILIZIA SCOLASTICA - SCUOLA ELEMENTARE - COMPLESSO PAOLINI -INTERVENTO INDIVIDUATO NELL'ALLEGATO AL D.C.D. N. 89/2011 CUP E72I11000320001 - PROTOCOLLO NORMALIZZATO PE-POP-OOPP-01077 COMUNE DI POPOLI (PE)</t>
  </si>
  <si>
    <t>EROGAZIONE FONDI A TITOLO DI ACCONTO RELATIVO AL PROGETTO DEFINITIVO/ESECUTIVO DI RISANAMENTO STRUTTURALE E FUNZIONALE DELLA SEDE COMUNALE DI PIETRACAMELA (TE)</t>
  </si>
  <si>
    <t>EROGAZIONE FONDI A TITOLO DI ACCONTO RELATIVO ALL'INTERVENTO DI RISANAMENTO STRUTTURALE E FUNZIONALE DEL CIMITERO DI INTERMESOLI E DEI SUOI LOCALI DANNEGGIATI DALL'EVENTO SISMICO DEL 06/04/2009 SITO A PIETRACAMELA (TE)</t>
  </si>
  <si>
    <t>EROGAZIONE FONDI PER SPESE SOSTENUTE PER LAVORI MANUTENZIONE STRAORDINARIA - INTERVENTI DI RIPARAZIONE PER LAVORI DI SOMMA URGENZA M.A.P. 133, 229, 263, 275, 287, 295 - COMUNE DI PIZZOLI (AQ)</t>
  </si>
  <si>
    <t>EROGAZIONE FONDI I SAL PER LAVORI DI MESSA IN SICUREZZA DI UN'AREA SITA IN VIA STORTA INDIVIDUATA AL FOGLIO N. 11 PARTICELLA N. 219". COMUNE DI PIETRANICO (PE)</t>
  </si>
  <si>
    <t>EROGAZIONE I SAL RELATIVO AL PROGETTO ESECUTIVO DI RIPARAZIONE DANNI E RAFFORZAMENTO SISMICO DELLA SEDE DELLA CASA COMUNALE - EX EDIFICIO SCOLASTICO - NELLA FRAZIONE DI SAN PANFILO D'OCRE (AQ)</t>
  </si>
  <si>
    <t>EROGAZIONE FONDI PER INTERVENTI DI RICOSTRUZIONE PRIVATA COMUNI "FUORI CRATERE" EX DELIBERA CIPE 22/2015 DEL 20/02/2015 (GU 140 DEL 19/06/2015) COMUNE DI CARPINETO DELLA NORA (PE)</t>
  </si>
  <si>
    <t>CONTRIBUTO AUTONOMA SISTEMAZIONE (AGOSTO 2016)</t>
  </si>
  <si>
    <t>CONTRIBUTO AUTONOMA SISTEMAZIONE (LUGLIO - AGOSTO 2016)</t>
  </si>
  <si>
    <t>CONTRIBUTO AUTONOMA SISTEMAZIONE (OTTOBRE 2015 - APRILE 2016 )</t>
  </si>
  <si>
    <t>CONTRIBUTO AUTONOMA SISTEMAZIONE (APRILE - SETTEMBRE 2016 )</t>
  </si>
  <si>
    <t>CONTRIBUTO AUTONOMA SISTEMAZIONE (LUGLIO 2011 - DICEMBRE 2012)</t>
  </si>
  <si>
    <t>CONTRIBUTO AUTONOMA SISTEMAZIONE (NOVEMBRE 2015 -AGOSTO 2016)</t>
  </si>
  <si>
    <t>CONTRIBUTO AUTONOMA SISTEMAZIONE (MAGGIO - AGOSTO 2016)</t>
  </si>
  <si>
    <t>CONTRIBUTO AUTONOMA SISTEMAZIONE (GENNAIO 2015; GIUGNO 2016)</t>
  </si>
  <si>
    <t>CONTRIBUTO AUTONOMA SISTEMAZIONE (OTTOBRE 2009;SETTEMBRE 2015;AGOSTO 2016)</t>
  </si>
  <si>
    <t>CONTRIBUTO AUTONOMA SISTEMAZIONE (LUGLIO - SETTEMBRE )</t>
  </si>
  <si>
    <t>CONTRIBUTO AUTONOMA SISTEMAZIONE (GENNAIO-SETTEMBRE 2016)</t>
  </si>
  <si>
    <t>CONTRIBUTO AUTONOMA SISTEMAZIONE (GENNIO 2012 - DICEMBRE 2014)</t>
  </si>
  <si>
    <t>CONTRIBUTO AUTONOMA SISTEMAZIONE (GENNAIO - GIUGNO 2016)</t>
  </si>
  <si>
    <t>CONTRIBUTO AUTONOMA SISTEMAZIONE (LUGLIO E AGOSTO 2016)</t>
  </si>
  <si>
    <t>Comune di Catignano</t>
  </si>
  <si>
    <t>CF 80001570680</t>
  </si>
  <si>
    <t>CONTRIBUTO AUTONOMA SISTEMAZIONE (APRILE - OTTOBRE 2009)</t>
  </si>
  <si>
    <t>CONTRIBUTO AUTONOMA SISTEMAZIONE (NOVEMBRE 2015 - MARZO 2016)</t>
  </si>
  <si>
    <t>CONTRIBUTO AUTONOMA SISTEMAZIONE (LUGLIO - SETTEMBRE 2016)</t>
  </si>
  <si>
    <t>CONTRIBUTO AUTONOMA SISTEMAZIONE (INTEGRAZIONE DICEMBRE 2015-MAGGIO 2016)</t>
  </si>
  <si>
    <t>CONTRIBUTO AUTONOMA SISTEMAZIONE ( MAGGIO - LUGLIO 2016)</t>
  </si>
  <si>
    <t>CONTRIBUTO AUTONOMA SISTEMAZIONE ( GENNAIO DICEMBRE 2014GENNAIO DICEMBRE 2015;GENNAIO - AGOSTO 2016)</t>
  </si>
  <si>
    <t>LOCAZIONE TEMPORANEA ALLOGGI (NOVEMBRE 2009 - AGOSTO 2016)</t>
  </si>
  <si>
    <t>LOCAZIONE TEMPORANEA ALLOGGI (MAGGIO -LUGLIO 2016)</t>
  </si>
  <si>
    <t>RENDICONTAZIONE TRASLOCO E DEPOSITO TEMPORANEO DEL MOBILIO (GENNAIO; MARZO; MAGGIO; GIUGNO; LUGLIO 2016)</t>
  </si>
  <si>
    <t>LOCAZIONE TEMPORANEA ALLOGGI (GENNAIO - AGOSTO 2016)</t>
  </si>
  <si>
    <t>LOCAZIONE TEMPORANEA ALLOGGI (MAGGIO - AGOSTO 2016)</t>
  </si>
  <si>
    <t>LOCAZIONE TEMPORANEA ALLOGGI (LUGLIO - AGOSTO 2016)</t>
  </si>
  <si>
    <t>LOCAZIONE TEMPORANEA ALLOGGI (AGOSTO 2016)</t>
  </si>
  <si>
    <t>RENDICONTAZIONE TRASLOCO E DEPOSITO TEMPORANEO DEL MOBILIO (AGOSTO 2016)</t>
  </si>
  <si>
    <t>RENDICONTAZIONE TRASLOCO E DEPOSITO TEMPORANEO DEL MOBILIO (AGOSTO - OTTOBRE 2015)</t>
  </si>
  <si>
    <t>RENDICONTAZIONE TRASLOCO E DEPOSITO TEMPORANEO DEL MOBILIO (LUGLIO 2016)</t>
  </si>
  <si>
    <t>RENDICONTAZIONE CO.CO.CO. ( GENNAIO - SETTEMBRE 2016)</t>
  </si>
  <si>
    <t>RENDICONTAZIONE CO.CO.CO. (MARZO - MAGGIO 2016)</t>
  </si>
  <si>
    <t>RENDICONTAZIONE CO.CO.CO. (FEBBRAIO-MAGGIO 2016)</t>
  </si>
  <si>
    <t>RENDICONTAZIONE CO.CO.CO. (GENNAIO - MAGGIO 2016)</t>
  </si>
  <si>
    <t>PRESTAZIONI OCCASIONALI RELATIVE ALL'ISTRUTTORIA DELLE PRATICHE DI RICOSTRUZIONE DEI COMUNI FUORI CRATERE INDIRIZZATE VERSO GLI U.T.R. (MARZO - APRILE 2016)</t>
  </si>
  <si>
    <t>PRESTAZIONI OCCASIONALI RELATIVE ALL'ISTRUTTORIA DELLE PRATICHE DI RICOSTRUZIONE DEI COMUNI FUORI CRATERE INDIRIZZATE VERSO GLI U.T.R. (MARZO -MAGGIO 2016)</t>
  </si>
  <si>
    <t>PRESTAZIONI OCCASIONALI RELATIVE ALL'ISTRUTTORIA DELLE PRATICHE DI RICOSTRUZIONE DEI COMUNI FUORI CRATERE INDIRIZZATE VERSO GLI U.T.R. (MARZO 2016)</t>
  </si>
  <si>
    <t>ACQUISIZIONE RENDICONTAZIONE SECONDA RATA E TRASFERIMENTO TERZA RATA PER ATTUAZIONE INTERVENTI IN MATERIA DI EDILIZIA SCOLASTICA - SCUOLA MEDIA "A.VIVENZA" COMUNE DI AVEZZANO (AQ) - INTERVENTO INDICATO AL II° STRALCIO DEL PROGRAMMA DI MESSA IN SICUREZZA DI EDIFICI SCOLASTICI A VALERE SULLA DELIBERA CIPE N.47/2009 CUP J33B11000110001 - CIG 2113855852, PROTOCOLLO NORMALIZZATO AQ-AVZ-OOPP-O1278</t>
  </si>
  <si>
    <t>Comune di Cellino Attanasio</t>
  </si>
  <si>
    <t>CF 81000350678</t>
  </si>
  <si>
    <t>APPROVAZIONE DEL PROGETTO PRELIMINARE E PRIMO TRASFERIMENTO FONDI PER ATTUAZIONE INTERVENTI IN MATERIA DI EDILIZIA SCOLASTICA.COMUNE DI CELLINO ATTANASIO (TE) - SCUOLA MEDIA INTERVENTO INDIVIDUATO AL N. 146 NELL'ALLEGATO AL D.C.D. N. 89/2011 CUP J54H15001140001 - PROTOCOLLO NORMALIZZATO TE-CLT-OOPP-04576</t>
  </si>
  <si>
    <t>ACQUISIZIONE DOCUMENTI ATTI ALLA RENDICONTAZIONE DELLA SECONDA RATA E TRASFERIMENTO FONDI TERZA RATA INERENTI ALLA SOSTITUZIONE EDILIZIA DEL COMPLESSO SCOLASTICO SITO IN MONTEREALE CAPOLUOGO OSPITANTE LA SCUOLA ELEMENTARE E MEDIA - COMUNE DI MONTEREALE (AQ) - CUP I83D13000250005 DEL 28/11/2013, PROTOCOLLO NORMALIZZATO: AQ-MON-OOPP-04433</t>
  </si>
  <si>
    <t>ACQUISIZIONE DOCUMENTI ATTI ALLA RENDICONTAZIONE DEL PRIMO TRASFERIMENTO E SECONDO TRASFERIMENTO FONDI PER ATTUAZIONE INTERVENTI IN MATERIA DI EDILIZIA SCOLASTICA-COMUNE DI AVEZZANO (AQ) SCUOLA ELEMENTARE "CORRADINI"-INTERVENTO INDICATO NELL'ALLEGATO AL D.C.D.N.89/2011 E NELL'ALLEGATO RIMODULATO APPROVATO CON DELIBERA N.85/2013-CUP J34B14000010001-CIG 555663369B-PROTOCOLLO NORMALIZZATO AQ-AVZ-OOPP-04635</t>
  </si>
  <si>
    <t>EROGAZIONE RISORSE FINALIZZATE ALLA RICOSTRUZIONE PRIVATA EX DELIBERA CIPE 135/2012, DELIBERA CIPE 23/2014 E DELIBERA CIPE 22/2015 - COMUNE DI SAN PIO DELLE CAMERE (AQ)</t>
  </si>
  <si>
    <t>CODFIN CIPE135/2012 CIPE23/2014 CIPE22/2015</t>
  </si>
  <si>
    <t>EROGAZIONE FONDI CORRELATI ALLA LIQUIDAZIONE DEL II E ULTIMO SAL, DELLE SPESE TECNICHE PER DIREZIONE LAVORI CONNESSI AI LAVORI DI RIPARAZIONE E MIGLIORAMENTO SISMICO CINEMA-TEATRO COMUNALE DI POPOLI (PE). PRESA D'ATTO PERIZIA DI VARIANTE.</t>
  </si>
  <si>
    <t>EROGAZIONE FONDI PER LIQUIDAZIONE I, II SAL E COMPETENZE TECNICHE RELATIVI AL PROGETTO DEFINITIVO/ESECUTIVO DI RIPARAZIONE DEI DANNI PROVOCATI DAL SISMA DEL 06/04/2009 AL CIMITERO COMUNALE DI FAGNANO ALTO (AQ)</t>
  </si>
  <si>
    <t>EROGAZIONE FONDI ATTI ALLA LIQUIDAZIONE A SALDO DELLE SOMME A DISPOSIZIONE DELL'AMMINISTRAZIONE - PROGETTO DEFINITIVO/ESECUTIVO RELATIVO ALL'INTERVENTO DI RIPARAZIONE CON MIGLIORAMENTO SISMICO DI OPERE EDILIZIA CIMITERIALI UBICATE NEL COMUNE DI CIVITELLA CASANOVA (PE)</t>
  </si>
  <si>
    <t>EROGAZIONE RISORSE FINALIZZATE ALLA RICOSTRUZIONE PRIVATA EX DELIBERA CIPE 135/2012, DELIBERA CIPE 23/2014 E DELIBERA CIPE 22/2015 - COMUNE DI CIVITELLA CASANOVA (PE)</t>
  </si>
  <si>
    <t>EROGAZIONE FONDI RELATIVI AL PROGETTO ESECUTIVO PER LAVORI DI RIFACIMENTO DI UN MURO DI SOSTEGNO DELIMITANTE UN PARCHEGGIO PUBBLICO E DANNEGGIATO DAL SISMA DEL 06/04/2009, SITO IN LOCALITÀ CERRO - COMUNE DI FOSSA (AQ)</t>
  </si>
  <si>
    <t>TRASFERIMENTO FONDI PER SPESE DI PROGETTAZIONE RELATIVE ALL'ATTUAZIONE INTERVENTI IN MATERIA DI EDILIZIA SCOLASTICA. COMUNE DI SAN DEMETRIO NE' VESTINI (AQ). - "SCUOLA ELEMENTARE E MEDIA F.ROSSI" INTERVENTO INDIVIDUATO AL N.54 DELL'ALLEGATO AL D.C.D. N.89/2011 CUP J31E1500010000 - PROTOCOLLO NORMALIZZATO AQ-SDV-OOPP-04501</t>
  </si>
  <si>
    <t>APPROVAZIONE DEL PROGETTO DEFINITIVO/ESECUTIVO E PRIMO TRASFERIMENTO FONDI PER ATTUAZIONE INTERVENTI IN MATERIA DI EDILIZIA SCOLASTICA. COMUNE DI NERETO (TE) - PROVINCIA DI TERAMO CUP: E34H14000010001 - PROTOCOLLO NORMALIZZATO TE-PROVTE-OOPP-04684</t>
  </si>
  <si>
    <t>EROGAZIONE RISORSE FINALIZZATE ALLA RICOSTRUZIONE PRIVATA EX DELIBERA CIPE 135/2012, DELIBERA CIPE 23/2014 E DELIBERA CIPE 22/2015 - COMUNE DI GORIANO SICOLI (AQ)</t>
  </si>
  <si>
    <t>EROGAZIONE RISORSE FINALIZZATE ALLA RICOSTRUZIONE PRIVATA EX DELIBERA CIPE 135/2012, DELIBERA CIPE 23/2014 E DELIBERA CIPE 22/2015 - COMUNE DI BARETE (AQ)</t>
  </si>
  <si>
    <t>EROGAZIONE RISORSE FINALIZZATE ALLA RICOSTRUZIONE PRIVATA EX DELIBERA CIPE 135/2012, DELIBERA CIPE 23/2014 E DELIBERA CIPE 22/2015 - COMUNE DI CARAPELLE CALVISIO (AQ)</t>
  </si>
  <si>
    <t>EROGAZIONE FONDI A TITOLO DI ACCONTO RELATIVO AL PROGETTO DEFINITIVO CORRELATO AI LAVORI DI RISTRUTTURAZIONE DELL'EDIFICIO EX SCUOLA LOLA DI STEFANO - COMUNE DI BUSSI SUL TIRINO (PE)</t>
  </si>
  <si>
    <t>EROGAZIONE FONDI A TITOLO DI RIMBORSO PER LE SPESE SOSTENUTE DALL'AMMINISTRAZIONE PER LA SISTEMAZIONE PROVVISORIA DEGLI STUDENTI DURANTE L'ESECUZIONE DEI LAVORI DI MESSA IN SICUREZZA DELL'EDIFICIO SCOLASTICO SITO IN VIA PONTE RIO, SEDE DELLA SCUOLA PRIMARIA E DELL'INFANZIA - COMUNE DI PETTORANO SUL GIZIO (AQ)</t>
  </si>
  <si>
    <t>EROGAZIONE FONDI LIQUIDAZIONE I SAL PER LAVORI DI RIPARAZIONE DANNI CAUSATI DAL SISMA DEL 06/04/2009 SU INFRASTRUTTURE PUBBLICHE COMUNALI - COMUNE DI ROCCA DI CAMBIO (AQ)</t>
  </si>
  <si>
    <t>EROGAZIONE FONDI PER INTERVENTI DI RICOSTRUZIONE PRIVATA COMUNI "FUORI CRATERE" EX DELIBERA CIPE 135/2012 DEL 21/12/2012 (GU 63 DEL 15/03/2013 )- COMUNE DI LORETO APRUTINO (PE)</t>
  </si>
  <si>
    <t>PRESA D'ATTO PERIZIA DI VARIANTE ED EROGAZIONE FONDI SAL FINALE RELATIVO AL PROGETTO ESECUTIVO CORRELATO AI LAVORI DI RIPARAZIONE DEI DANNI CAUSATI DAL SISMA DEL 06/04/2009 E RISTRUTTURAZIONE EDILE ED IMPIANTISTICA INTERNA DELL'EDIFICIO SCOLASTICO SITO SULLA S.S. N. 577-I LOTTO - COMUNE DI CAMPOTOSTO (AQ)</t>
  </si>
  <si>
    <t>ACQUISIZIONE DOCUMENTAZIONE ATTA ALLA RENDICONTAZIONE DEL PRIMO TRASFERIMENTO FONDI E SECONDO TRASFERIMENTO FONDI PER ATTUAZIONE INTERVENTI IN MATERIA DI EDILIZIA SCOLASTICA - COMUNE DI SCAFA (PE) "SCUOLA ELEMENTARE IN CORSO I MAGGIO" INTERVENTO INDIVIDUATO AL N. 132 DELL'ALLEGATO AL D.C.D. N. 89/2011 CUP D47E13000460001 - CIG 62888001EF - PROTOCOLLO NORMALIZZATO PE-SCF-OOPP-04763</t>
  </si>
  <si>
    <t>EROGAZIONE RISORSE FINALIZZATE ALLA RICOSTRUZIONE PRIVATA EX DELIBERA CIPE 135/2012, DELIBERA CIPE 23/2014 E DELIBERA CIPE 22/2015 - COMUNE DI LUCOLI (AQ)</t>
  </si>
  <si>
    <t>EROGAZIONE FONDI SAL FINALE RELATIVO AL PROGETTO DEFINITIVO/ESECUTIVO RELATIVO ALL'INTERVENTO DI MANUTENZIONE STRAORDINARIA E RIPARAZIONE EDILIZIA POPOLARE - COMUNE DI CIVITELLA CASANOVA (PE)</t>
  </si>
  <si>
    <t>EROGAZIONE FONDI I SAL RELATIVO AL PROGETTO DEFINITIVO-ESECUTIVO RELATIVO AI LAVORI DI RIPARAZIONE DELL'IMMOBILE COMUNALE EX SCUOLA DI VALLE/AMBULATORIO MEDICO DANNEGGIATO DAL SISMA DEL 06/04/2009 - FRAZIONE VALLE/CAVALLETTO-COMUNE DI OCRE (AQ)</t>
  </si>
  <si>
    <t>ACQUISIZIONE DOCUMENTAZIONE ATTA ALLA RENDICONTAZIONE DELLA PRIMA RATA E TRASFERIMENTO FONDI SECONDA RATA RELATIVA AL PROGETTO DEFINITIVO/ESECUTIVO INERENTE LA REALIZZAZIONE DI UN NUOVO EDIFICIO SCOLASTICO PER OSPITARE LA SCUOLA D'INFANZIA - INTERVENTO INDIVIDUATO NELL'ALLEGATO AL N. 24 DEL D.C.D. N. 89/2011 E AL N. 14 DELL'ALLEGATO RIMODULATO DI CUI ALLA DELIBERA CIPE N. 85/2013 - CUP G99H12000660005 - CIG 6292731DE2 - PROTOCOLLO NORMALIZZATO - AQ-CPT-OOPP-04634 - COMUNE DI CAPITIGNANO (AQ)</t>
  </si>
  <si>
    <t>EROGAZIONE RISORSE FINALIZZATE ALLA RICOSTRUZIONE PRIVATA EX DELIBERA CIPE 135/2012, DELIBERA CIPE 23/2014 E DELIBERA CIPE 22/2015 - COMUNE DI ROCCA DI CAMBIO (AQ)</t>
  </si>
  <si>
    <t>EROGAZIONE RISORSE FINALIZZATE ALLA RICOSTRUZIONE PRIVATA EX DELIBERA CIPE 135/2012, DELIBERA CIPE 23/2014 E DELIBERA CIPE 22/2015 - COMUNE DI PRATA D'ANSIDONIA (AQ)</t>
  </si>
  <si>
    <t>CODFIN 135/2012 CIPE22/2015</t>
  </si>
  <si>
    <t>EROGAZIONE FONDI PER INTERVENTI DI RICOSTRUZIONE PRIVATA COMUNI "FUORI CRATERE" EX DELIBERA CIPE 135/2012 DEL 21/12/2012 (GU 63 DEL 15/03/2013). DELIBERA CIPE 50/2013 DEL 02/08/2013 (GU 279 DEL 28/11/2013) E DELIBERA CIPE 22/2015 DEL 20/02/2015 (GU 140 DEL 19/06/2015) COMUNE DI PENNE (PE).</t>
  </si>
  <si>
    <t>CODFIN CIPE135/2012 CIPE50/2013 CIPE22/2015</t>
  </si>
  <si>
    <t>EROGAZIONE FONDI PER INTERVENTI DI RICOSTRUZIONE PRIVATA COMUNI "FUORI CRATERE" EX DELIBERA CIPE 135/2012 DEL 21/12/2012 (GU 63 DEL 15/03/2013), DELIBERA CIPE 50/2013 DEL 02/08/2013 (GU 279 DEL 28/11/2013) E DELIBERA CIPE 22/2015 DEL 20/02/2015 (GU 140 DEL 19/06/2015) COMUNE DI BASCIANO (TE)</t>
  </si>
  <si>
    <t>RENDICONTAZIONE CO.CO.CO. ( GENNAIO - MAGGIO 2016)</t>
  </si>
  <si>
    <t>RENDICONTAZIONE TRASLOCO E DEPOSITO TEMPORANEO DEL MOBILIO ( OTTOBRE - DICEMBRE 2015)</t>
  </si>
  <si>
    <t>RENDICONTAZIONE TRASLOCO E DEPOSITO TEMPORANEO DEL MOBILIO (SETTEMBRE 2015, FEBBRAIO 2016, MARZO 2016, MAGGIO 2016)</t>
  </si>
  <si>
    <t>RENDICONTAZIONE TRASLOCO E DEPOSITO TEMPORANEO DEL MOBILI (DICEMBRE 2015; GENNAIO 2016; MARZO-MAGGIO 2016; LUGLIO - SETTEMBRE 2016)</t>
  </si>
  <si>
    <t>RENDICONTAZIONE TRASLOCO E DEPOSITO TEMPORANEO DEL MOBILIO (DICEMBRE 2015;GENNAIO - MARZO 2016; GIUGNO, AGOSTO 2016 SETTEMBRE 2016)</t>
  </si>
  <si>
    <t>RENDICONTAZIONE TRASLOCO E DEPOSITO TEMPORANEO DEL MOBILIO (FEBBRAIO, MARZO,SETTEMBRE 2016)</t>
  </si>
  <si>
    <t>RENDICONTAZIONE TRASLOCO E DEPOSITO TEMPORANEO DEL MOBILIO (LUGLIO 2015,AGOSTO - SETTEMBRE 2015,GENNAIO, FEBBRAIO, MARZO,OTTOBRE 2016)</t>
  </si>
  <si>
    <t>RENDICONTAZIONE TRASLOCO E DEPOSITO TEMPORANEO DEL MOBILIO (NOVEMBRE 2011, DICEMBRE 2014E DICEMBRE 2015)</t>
  </si>
  <si>
    <t>LOCAZIONE TEMPORANEA ALLOGGI (NOVEMBRE 2009 -AGOSTO 2016)</t>
  </si>
  <si>
    <t>LOCAZIONE TEMPORANEA ALLOGGI (LUGLIO - SETTEMBRE 2016)</t>
  </si>
  <si>
    <t>LOCAZIONE TEMPORANEA ALLOGGI (SETTEMBRE - OTTOBRE 2016)</t>
  </si>
  <si>
    <t>CONTRIBUTO AUTONOMA SISTEMAZIONE (SETTEMBRE 2016)</t>
  </si>
  <si>
    <t>CONTRIBUTO AUTONOMA SISTEMAZIONE (SETTEMBRE 2016 )</t>
  </si>
  <si>
    <t>CONTRIBUTO AUTONOMA SISTEMAZIONE (APRILE - GIUGNO 2016 )</t>
  </si>
  <si>
    <t>CONTRIBUTO AUTONOMA SISTEMAZIONE (LUGLIO - SETTEMBRE 2016 )</t>
  </si>
  <si>
    <t>CONTRIBUTO AUTONOMA SISTEMAZIONE (GENNAIO-GIUGNO 2016)</t>
  </si>
  <si>
    <t>CONTRIBUTO AUTONOMA SISTEMAZIONE (SETTEMBRE - OTTOBRE 2016)</t>
  </si>
  <si>
    <t>CONTRIBUTO AUTONOMA SISTEMAZIONE (AGOSTO - SETTEMBRE 2016)</t>
  </si>
  <si>
    <t>CONTRIBUTO AUTONOMA SISTEMAZIONE (OTTOBRE 2016)</t>
  </si>
  <si>
    <t>CONTRIBUTO AUTONOMA SISTEMAZIONE (SETTEMBRE - OTTOBRE 2016 )</t>
  </si>
  <si>
    <t>CONTRIBUTO AUTONOMA SISTEMAZIONE (GENNAIO - SETTEMBRE 2016)</t>
  </si>
  <si>
    <t>CONTRIBUTO AUTONOMA SISTEMAZIONE (FEBBRAIO -SETTEMBRE 2016)</t>
  </si>
  <si>
    <t>CONTRIBUTO AUTONOMA SISTEMAZIONE (FEBBRAIO - SETTEMBRE 2016)</t>
  </si>
  <si>
    <t>CONTRIBUTO AUTONOMA SISTEMAZIONE (GIUGNO - OTTOBRE 2016)</t>
  </si>
  <si>
    <t>EROGAZIONE FONDI PER INTERVENTI DI RICOSTRUZIONE PRIVATA COMUNI "FUORI CRATERE" EX DELIBERA CIPE22/2015 DEL 20/02/2015 (GU 140 DEL 19/06/2015) COMUNE DI CARPINETO DELLA NORA (PE)</t>
  </si>
  <si>
    <t>EROGAZIONE RISORSE FINALIZZATE ALLA RICOSTRUZIONE PRIVATA EX DELIBERA CIPE 23/2014 E DELIBERA CIPE 22/2015 - COMUNE DI CASTELVECCHIO SUBEQUO (AQ)</t>
  </si>
  <si>
    <t>EROGAZIONE FONDI PER LIQUIDAZIONE I SAL CORRELATO AL PROGETTO DEFINITIVO RELATIVO ALL'INTERVENTO DI RECUPERO DI PALAZZO ALESI - COMUNE DI BUGNARA (AQ)</t>
  </si>
  <si>
    <t>EROGAZIONE RISORSE FINALIZZATE ALLA RICOSTRUZIONE PRIVATA EX DELIBERA CIPE 23/2014 E DELIBERA CIPE 22/2015 - COMUNE COLLEDARA (TE)</t>
  </si>
  <si>
    <t>CODFIN 23/2014 CIPE22/2015</t>
  </si>
  <si>
    <t>EROGAZIONE RISORSE FINALIZZATE ALLA RICOSTRUZIONE PRIVATA EX DELIBERA CIPE 23/2014 E DELIBERA CIPE 22/2015 - COMUNE DI ACCIANO (AQ)</t>
  </si>
  <si>
    <t>EROGAZIONE SOMME A TITOLO DI SALDO RELATIVO AL PROGETTO DEFINITIVO/ESECUTIVO RELATIVO ALL'INTERVENTO DI MESSA IN SICUREZZA DELL'AGGREGATO N.09 - FRAZ.VESTEA - COMUNE DI CIVITELLA CASANOVA (PE)</t>
  </si>
  <si>
    <t>EROGAZIONE FONDI A TITOLO DI ACCONTO RELATIVI AL PROGETTO ESECUTIVO E DELLA SPESA PER L'INTERVENTO DI RIPARAZIONE DEI PLESSI CIMITERIALI DEL COMUNE DI LUCOLI (AQ)</t>
  </si>
  <si>
    <t>EROGAZIONE FONDI PER LIQUIDAZIONE CONTRIBUTO AVCP RELATIVO AL PROGETTO DEFINITIVO/ESECUTIVO DI LAVORI DI REALIZZAZIONE DI UN CENTRO POLIFUNZIONALE MEDIANTE RICONVERSIONE EX MATTATOIO - COMUNE DI MONTEBELLO DI BERTONA (PE)</t>
  </si>
  <si>
    <t>EROGAZIONE FONDI A TITOLO DI ACCONTO PER LAVORI CORRELATI AL FINANZIAMENETO PROGRAMMATICO RELATIVO AL PROGETTO DEFINITIVO ESECUTIVO PER LA MESSA IN SICUREZZA DI PARTE DELLA EX SEDE MUNICIPALE IN VIA SALITA DI COCCO, 10 - COMUNE DI POPOLI (PE)</t>
  </si>
  <si>
    <t>EROGAZIONE FONDI PER LIQUIDAZIONE SOMME A SALDO DEL PROGETTO DEFINITIVO/ESECUTIVO PER LAVORI DI RIPARAZIONE EDILIZIA CIMITERIALE - COMUNE DI MONTEBELLO DI BERTONA (PE)</t>
  </si>
  <si>
    <t>EROGAZIONE FONDI PER INTERVENTI DI RICOSTRUZIONE PRIVATA COMUNI " FUORI CRATERE" EX DELIBERA CIPE 22/2015 DEL 20/02/2015 ( GU 140 DEL 19/06/2015), COMUNE DI CASTEL CASTAGNA (TE)</t>
  </si>
  <si>
    <t>CODFIN 50/2013 CIPE22/2015</t>
  </si>
  <si>
    <t>EROGAZIONE FONDI PER INTERVENTI DI RICOSTRUZIONE PRIVATA COMUNI " FUORI CRATERE" EX DELIBERA CIPE 22/2015 DEL 20/02/2015 ( GU 140 DEL 19/06/2015), COMUNE DI MOLINA ATERNO (AQ)</t>
  </si>
  <si>
    <t>EROGAZIONE RISORSE FINALIZZATE ALLA RICOSTRUZIONE PRIVATA EX DELIBERA CIPE 135/2012, DELIBERA CIPE 23/2014 E DELIBERA CIPE 22/2015 - COMUNE DI MONTORIO AL VOMANO (TE)</t>
  </si>
  <si>
    <t>EROGAZIONE FONDI PER INTERVENTI DI RICOSTRUZIONE PRIVATA COMUNI "FUORI CRATERE" EX DELIBERA CIPE22/2015 DEL 20/02/2015 (GU 140 DEL 19/06/2015), COMUNE DI ATRI (TE)</t>
  </si>
  <si>
    <t>EROGAZIONE FONDI A TITOLO DI ACCONTO RELATIVO AL PROGETTO DEFINITIVO-ESECUTIVO "INTERVENTO DI CONSOLIDAMENTO SPERONE CONGLOMERATICO" - COMUNE DI MONTEBELLO DI BERTONA (PE)</t>
  </si>
  <si>
    <t>TRASFERIMENTO FONDI A VALERE SULLA DELIBERA CIPE 135/2012 INERENTI LA SOSTITUZIONE EDILIZIA DEL COMPLESSO SCOLASTICO SITO IN MONTEREALE CAPOLUOGO OSPITANTE LA SCUOLA ELEMENTARE E MEDIA - COMUNE DI MONTEREALE (AQ) - CUP I83D13000250005 DEL 28/11/2013, PROTOCOLLO NORMALIZZATO : AQ-MON-OOPP-04433</t>
  </si>
  <si>
    <t>EROGAZIONE FONDI PER LAVORI MANUTENZIONE STRAORDINARIA MAP N.5 7 8 10 14 LOC.PALOMBAIA, 4 9 24 28 35 40 LOC.TATOZZI, 27 LOC. CARDAMONE - COMUNE DI SAN DEMETRIO NE' VESTINI (AQ)</t>
  </si>
  <si>
    <t>EROGAZIONE FONDI PER INTERVENTI DI RICOSTRUZIONE PRIVATA COMUNI "FUORI CRATERE" EX DELIBERA CIPE22/2015 DEL 20/02/2015 (GU 140 DEL 19/06/2015), COMUNE DI CASTIGLIONE MESSER RAIMONDO (TE)</t>
  </si>
  <si>
    <t>EROGAZIONE FONDI PER LIQUIDAZIONE I SAL RELATIVO AL PROGETTO DEFINITIVO E DELLA SPESA PER L'INTERVENTO DI RIPARAZIONE EDILIZIA CIMITERIALE DEL COMUNE DI FANO ADRIANO (TE)</t>
  </si>
  <si>
    <t>EROGAZIONE FONDI PER LAVORI MANUTENZIONE STRAORDINARIA MAP UBICATI NEL CAPOLUOGO E FRAZIONI - COMUNE DI BARISCIANO (AQ)</t>
  </si>
  <si>
    <t>EROGAZIONE RISORSE FINALIZZATE ALLA RICOSTRUZIONE PRIVATA EX DELIBERA CIPE 23/2014 E DELIBERA CIPE 22/2015 - COMUNE DI BUSSI SUL TIRINO (PE)</t>
  </si>
  <si>
    <t>ATER Teramo</t>
  </si>
  <si>
    <t>PI 00061800678</t>
  </si>
  <si>
    <t>INTERVENTI POST SISMA 2009 SU IMMOBILI DELLE ATER - AZIENDE TERRITORIALI PER L'EDILIZIA RESIDENZIALE DI TERAMO, PESCARA, CHIETI. (DELIBERA CIPE 23 DEL 20/02/2015 PUBBLICATA IN G.U. 154 DEL 06/07/2015: "REGIONE ABRUZZO - RICOSTRUZIONE POST SISMA 6 APRILE 2009 RICOGNIZIONE RISORSE RESIDUE EX ARTICOLO 14, COMMA 1, DECRETO LEGGE N.39/2009 E DELIBERA CIPE N.35/2009. FINALIZZAZIONI VARIE A VALERE SULLE RISORSE DI CUI ALL'OPCM N.4013/2012") - TRASFERIMENTO DELLE RISORSE DI CASSA AI SENSI DELLE DISPOSIZIONI DELLA NOTA DELLA PRESIDENZA DEL CONSIGLIO DEI MINISTRI - STRUTTURA DI MISSIONE EX DPCM 01/06/2014 PROT.SMAPT 853 DEL 21/12/2015.</t>
  </si>
  <si>
    <t>CODFIN CIPE23art2c1</t>
  </si>
  <si>
    <t>ATER Pescara</t>
  </si>
  <si>
    <t>PI 00062890686</t>
  </si>
  <si>
    <t>ATER Chieti</t>
  </si>
  <si>
    <t>PI 00091910695</t>
  </si>
  <si>
    <t>EROGAZIONE FONDI PER INTERVENTI DI RICOSTRUZIONE PRIVATA COMUNI "FUORI CRATERE" EX DELIBERA CIPE 22/2015 DEL 20/02/2015 (GU 140 DEL 19/06/2015) - COMUNE DI BOLOGNANO (PE)</t>
  </si>
  <si>
    <t>Provincia dell'Aquila</t>
  </si>
  <si>
    <t>CF 80002370668</t>
  </si>
  <si>
    <t>EROGAZIONE FONDI A SALDO DEI LAVORI A FAVORE DELLA PROVINCIA DELL'AQUILA - ISTITUTO STATALE D'ARTE "G. MAZARA" DI SULMONA</t>
  </si>
  <si>
    <t>EROGAZIONE FONDI PER INTERVENTI DI RICOSTRUZIONE PRIVATA COMUNI "FUORI CRATERE" EX DELIBERA CIPE 22/2015 DEL 20/02/2015 (GU 140 DEL 19/06/2015) - COMUNE DI CASTILENTI (TE)</t>
  </si>
  <si>
    <t>EROGAZIONE SOMME A SALDO CONNESSE AI LAVORI DI RIPARAZIONE E MIGLIORAMENTO SISMICO DEL CINEMA - TEATRO COMUNALE DI POPOLI (PE)</t>
  </si>
  <si>
    <t>EROGAZIONE SOMME A SALDO PROGETTO DEFINITIVO ESECUTIVO DI RIPARAZIONE PARZIALE DEL CIMITERO COMUNALE - COMUNE DI ARSITA (TE)</t>
  </si>
  <si>
    <t>EROGAZIONE SOMME A SALDO RELATIVE AL FINANZIAMENTO PROGRAMMATICO PER PROGETTO DEFINITIVO - ESECUTIVO DI RIPARAZIONE DEI DANNI CAUSATI DAGLI EVENTI SISMICI DELL'APRILE 2009 - RIAPRAZIONE EDIFICIO ADIBITO AD E.R.P. - COMUNE DI ARSITA (TE)</t>
  </si>
  <si>
    <t>EROGAZIONE RISORSE FINALIZZATE ALLA RICOSTRUZIONE PRIVATA EX DELIBERA CIPE 23/2014 E DELIBERA CIPE 22/2015 - COMUNE DI BARISCIANO (AQ)</t>
  </si>
  <si>
    <t>EROGAZIONE FONDI PER INTERVENTI DI RICOSTRUZIONE PRIVATA COMUNI "FUORI CRATERE" EX DELIBERA CIPE 22/2015 DEL 20/02/2015 (GU 140 DEL 19/06/2015) - COMUNE DI CANZANO (TE)</t>
  </si>
  <si>
    <t>EROGAZIONE RISORSE FINALIZZATE ALLA RICOSTRUZIONE PRIVATA EX DELIBERA CIPE 135/2012, 23/2014 E DELIBERA CIPE 22/2015 - COMUNE DI TOSSICIA (TE)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</si>
</sst>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7">
    <font>
      <sz val="11.0"/>
      <color rgb="FF000000"/>
      <name val="Calibri"/>
    </font>
    <font>
      <b/>
    </font>
    <font>
      <b/>
      <sz val="11.0"/>
      <color rgb="FF000000"/>
      <name val="Calibri"/>
    </font>
    <font>
      <u/>
      <sz val="11.0"/>
      <color rgb="FF0000FF"/>
      <name val="Calibri"/>
    </font>
    <font>
      <u/>
      <sz val="11.0"/>
      <color rgb="FF0000FF"/>
      <name val="Calibri"/>
    </font>
    <font>
      <u/>
      <sz val="11.0"/>
      <color rgb="FF0000FF"/>
      <name val="Calibri"/>
    </font>
    <font>
      <u/>
      <sz val="11.0"/>
      <color rgb="FF0000FF"/>
      <name val="Calibri"/>
    </font>
  </fonts>
  <fills count="6">
    <fill>
      <patternFill patternType="none"/>
    </fill>
    <fill>
      <patternFill patternType="lightGray"/>
    </fill>
    <fill>
      <patternFill patternType="solid">
        <fgColor rgb="FFFFFF00"/>
        <bgColor rgb="FFFFFF00"/>
      </patternFill>
    </fill>
    <fill>
      <patternFill patternType="solid">
        <fgColor rgb="FFF9CB9C"/>
        <bgColor rgb="FFF9CB9C"/>
      </patternFill>
    </fill>
    <fill>
      <patternFill patternType="solid">
        <fgColor rgb="FFFFFFFF"/>
        <bgColor rgb="FFFFFFFF"/>
      </patternFill>
    </fill>
    <fill>
      <patternFill patternType="solid">
        <fgColor rgb="FFF3F3F3"/>
        <bgColor rgb="FFF3F3F3"/>
      </patternFill>
    </fill>
  </fills>
  <borders count="5">
    <border/>
    <border>
      <left style="thin">
        <color rgb="FF000000"/>
      </left>
      <right style="thin">
        <color rgb="FF000000"/>
      </right>
      <top style="thin">
        <color rgb="FF000000"/>
      </top>
    </border>
    <border>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s>
  <cellStyleXfs count="1">
    <xf borderId="0" fillId="0" fontId="0" numFmtId="0" applyAlignment="1" applyFont="1"/>
  </cellStyleXfs>
  <cellXfs count="19">
    <xf borderId="0" fillId="0" fontId="0" numFmtId="0" xfId="0" applyAlignment="1" applyFont="1">
      <alignment readingOrder="0" shrinkToFit="0" vertical="bottom" wrapText="0"/>
    </xf>
    <xf borderId="1" fillId="2" fontId="1" numFmtId="0" xfId="0" applyAlignment="1" applyBorder="1" applyFill="1" applyFont="1">
      <alignment horizontal="center" readingOrder="0" vertical="center"/>
    </xf>
    <xf borderId="1" fillId="2" fontId="2" numFmtId="0" xfId="0" applyAlignment="1" applyBorder="1" applyFont="1">
      <alignment horizontal="center" readingOrder="0" shrinkToFit="0" vertical="center" wrapText="0"/>
    </xf>
    <xf borderId="1" fillId="2" fontId="1" numFmtId="4" xfId="0" applyAlignment="1" applyBorder="1" applyFont="1" applyNumberFormat="1">
      <alignment horizontal="center" readingOrder="0" vertical="center"/>
    </xf>
    <xf borderId="0" fillId="3" fontId="0" numFmtId="0" xfId="0" applyAlignment="1" applyFill="1" applyFont="1">
      <alignment readingOrder="0" shrinkToFit="0" vertical="bottom" wrapText="0"/>
    </xf>
    <xf borderId="0" fillId="0" fontId="0" numFmtId="0" xfId="0" applyAlignment="1" applyFont="1">
      <alignment readingOrder="0" shrinkToFit="0" vertical="bottom" wrapText="0"/>
    </xf>
    <xf borderId="0" fillId="0" fontId="0" numFmtId="4" xfId="0" applyAlignment="1" applyFont="1" applyNumberFormat="1">
      <alignment readingOrder="0" shrinkToFit="0" vertical="bottom" wrapText="0"/>
    </xf>
    <xf borderId="0" fillId="0" fontId="3" numFmtId="0" xfId="0" applyAlignment="1" applyFont="1">
      <alignment readingOrder="0" shrinkToFit="0" vertical="bottom" wrapText="0"/>
    </xf>
    <xf borderId="0" fillId="4" fontId="0" numFmtId="0" xfId="0" applyAlignment="1" applyFill="1" applyFont="1">
      <alignment readingOrder="0" shrinkToFit="0" vertical="bottom" wrapText="0"/>
    </xf>
    <xf borderId="0" fillId="0" fontId="0" numFmtId="0" xfId="0" applyAlignment="1" applyFont="1">
      <alignment shrinkToFit="0" wrapText="0"/>
    </xf>
    <xf borderId="0" fillId="4" fontId="0" numFmtId="4" xfId="0" applyAlignment="1" applyFont="1" applyNumberFormat="1">
      <alignment readingOrder="0" shrinkToFit="0" vertical="bottom" wrapText="0"/>
    </xf>
    <xf borderId="2" fillId="0" fontId="0" numFmtId="0" xfId="0" applyAlignment="1" applyBorder="1" applyFont="1">
      <alignment readingOrder="0" shrinkToFit="0" vertical="bottom" wrapText="0"/>
    </xf>
    <xf borderId="0" fillId="0" fontId="4" numFmtId="164" xfId="0" applyAlignment="1" applyFont="1" applyNumberFormat="1">
      <alignment readingOrder="0" shrinkToFit="0" vertical="bottom" wrapText="0"/>
    </xf>
    <xf borderId="3" fillId="0" fontId="0" numFmtId="0" xfId="0" applyAlignment="1" applyBorder="1" applyFont="1">
      <alignment readingOrder="0" shrinkToFit="0" vertical="bottom" wrapText="0"/>
    </xf>
    <xf borderId="4" fillId="0" fontId="0" numFmtId="0" xfId="0" applyAlignment="1" applyBorder="1" applyFont="1">
      <alignment readingOrder="0" shrinkToFit="0" vertical="bottom" wrapText="0"/>
    </xf>
    <xf borderId="0" fillId="4" fontId="5" numFmtId="0" xfId="0" applyAlignment="1" applyFont="1">
      <alignment readingOrder="0" shrinkToFit="0" vertical="bottom" wrapText="0"/>
    </xf>
    <xf borderId="0" fillId="0" fontId="0" numFmtId="164" xfId="0" applyAlignment="1" applyFont="1" applyNumberFormat="1">
      <alignment readingOrder="0" shrinkToFit="0" vertical="bottom" wrapText="0"/>
    </xf>
    <xf borderId="0" fillId="5" fontId="6" numFmtId="0" xfId="0" applyAlignment="1" applyFill="1" applyFont="1">
      <alignment readingOrder="0" shrinkToFit="0" vertical="bottom" wrapText="0"/>
    </xf>
    <xf borderId="0" fillId="0" fontId="2" numFmtId="0" xfId="0" applyAlignment="1" applyFont="1">
      <alignmen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42.14"/>
    <col customWidth="1" min="2" max="2" width="26.86"/>
    <col customWidth="1" min="3" max="3" width="22.14"/>
    <col customWidth="1" min="4" max="4" width="37.14"/>
    <col customWidth="1" min="5" max="5" width="268.29"/>
    <col customWidth="1" min="6" max="6" width="9.86"/>
    <col customWidth="1" min="7" max="7" width="72.14"/>
    <col customWidth="1" min="8" max="16" width="42.71"/>
  </cols>
  <sheetData>
    <row r="1" ht="30.0" customHeight="1">
      <c r="A1" s="1" t="s">
        <v>0</v>
      </c>
      <c r="B1" s="2" t="s">
        <v>1</v>
      </c>
      <c r="C1" s="3" t="s">
        <v>2</v>
      </c>
      <c r="D1" s="1" t="s">
        <v>3</v>
      </c>
      <c r="E1" s="1" t="s">
        <v>4</v>
      </c>
      <c r="F1" s="1" t="s">
        <v>5</v>
      </c>
      <c r="G1" s="1" t="s">
        <v>6</v>
      </c>
      <c r="H1" s="1" t="s">
        <v>7</v>
      </c>
      <c r="I1" s="1" t="s">
        <v>8</v>
      </c>
      <c r="J1" s="1"/>
      <c r="K1" s="1"/>
      <c r="L1" s="1"/>
      <c r="M1" s="1"/>
      <c r="N1" s="1"/>
      <c r="O1" s="1"/>
      <c r="P1" s="1"/>
    </row>
    <row r="2" ht="30.0" customHeight="1">
      <c r="A2" s="4" t="s">
        <v>9</v>
      </c>
      <c r="B2" s="5" t="s">
        <v>10</v>
      </c>
      <c r="C2" s="6">
        <v>66652.16</v>
      </c>
      <c r="D2" s="7" t="str">
        <f>HYPERLINK("http://www.usrc.it/AppRendiConta/det_1_20160316.pdf","Determina nr. 1 del 16/03/2016")</f>
        <v>Determina nr. 1 del 16/03/2016</v>
      </c>
      <c r="E2" s="5" t="s">
        <v>11</v>
      </c>
      <c r="F2" s="8" t="s">
        <v>12</v>
      </c>
      <c r="G2" s="8" t="s">
        <v>13</v>
      </c>
      <c r="H2" s="9"/>
      <c r="I2" s="9"/>
      <c r="J2" s="9"/>
      <c r="K2" s="9"/>
      <c r="L2" s="9"/>
      <c r="M2" s="9"/>
      <c r="N2" s="9"/>
      <c r="O2" s="9"/>
      <c r="P2" s="9"/>
    </row>
    <row r="3" ht="30.0" customHeight="1">
      <c r="A3" s="4" t="s">
        <v>14</v>
      </c>
      <c r="B3" s="5" t="s">
        <v>15</v>
      </c>
      <c r="C3" s="6">
        <v>96966.84</v>
      </c>
      <c r="D3" s="7" t="str">
        <f>HYPERLINK("http://www.usrc.it/AppRendiConta/det_3_20160316.pdf","Determina nr. 3 del 16/03/2016")</f>
        <v>Determina nr. 3 del 16/03/2016</v>
      </c>
      <c r="E3" s="5" t="s">
        <v>16</v>
      </c>
      <c r="F3" s="8" t="s">
        <v>12</v>
      </c>
      <c r="G3" s="8" t="s">
        <v>13</v>
      </c>
      <c r="H3" s="9"/>
      <c r="I3" s="9"/>
      <c r="J3" s="9"/>
      <c r="K3" s="9"/>
      <c r="L3" s="9"/>
      <c r="M3" s="9"/>
      <c r="N3" s="9"/>
      <c r="O3" s="9"/>
      <c r="P3" s="9"/>
    </row>
    <row r="4" ht="30.0" customHeight="1">
      <c r="A4" s="4" t="s">
        <v>17</v>
      </c>
      <c r="B4" s="5" t="s">
        <v>18</v>
      </c>
      <c r="C4" s="6">
        <v>146584.47</v>
      </c>
      <c r="D4" s="7" t="str">
        <f>HYPERLINK("http://www.usrc.it/AppRendiConta/det_4_20160316.pdf","Determina nr. 4 del 16/03/2016")</f>
        <v>Determina nr. 4 del 16/03/2016</v>
      </c>
      <c r="E4" s="5" t="s">
        <v>19</v>
      </c>
      <c r="F4" s="8" t="s">
        <v>12</v>
      </c>
      <c r="G4" s="8" t="s">
        <v>13</v>
      </c>
      <c r="H4" s="9"/>
      <c r="I4" s="9"/>
      <c r="J4" s="9"/>
      <c r="K4" s="9"/>
      <c r="L4" s="9"/>
      <c r="M4" s="9"/>
      <c r="N4" s="9"/>
      <c r="O4" s="9"/>
      <c r="P4" s="9"/>
    </row>
    <row r="5" ht="30.0" customHeight="1">
      <c r="A5" s="4" t="s">
        <v>20</v>
      </c>
      <c r="B5" s="5" t="s">
        <v>21</v>
      </c>
      <c r="C5" s="6">
        <v>41504.25</v>
      </c>
      <c r="D5" s="7" t="str">
        <f>HYPERLINK("http://www.usrc.it/AppRendiConta/det_5_20160316.pdf","Determina nr. 5 del 16/03/2016")</f>
        <v>Determina nr. 5 del 16/03/2016</v>
      </c>
      <c r="E5" s="5" t="s">
        <v>22</v>
      </c>
      <c r="F5" s="8" t="s">
        <v>12</v>
      </c>
      <c r="G5" s="8" t="s">
        <v>13</v>
      </c>
      <c r="H5" s="9"/>
      <c r="I5" s="9"/>
      <c r="J5" s="9"/>
      <c r="K5" s="9"/>
      <c r="L5" s="9"/>
      <c r="M5" s="9"/>
      <c r="N5" s="9"/>
      <c r="O5" s="9"/>
      <c r="P5" s="9"/>
    </row>
    <row r="6" ht="30.0" customHeight="1">
      <c r="A6" s="4" t="s">
        <v>23</v>
      </c>
      <c r="B6" s="5" t="s">
        <v>24</v>
      </c>
      <c r="C6" s="6">
        <v>58177.75</v>
      </c>
      <c r="D6" s="7" t="str">
        <f>HYPERLINK("http://www.usrc.it/AppRendiConta/det_6_20160316.pdf","Determina nr. 6 del 16/03/2016")</f>
        <v>Determina nr. 6 del 16/03/2016</v>
      </c>
      <c r="E6" s="5" t="s">
        <v>25</v>
      </c>
      <c r="F6" s="8" t="s">
        <v>12</v>
      </c>
      <c r="G6" s="8" t="s">
        <v>13</v>
      </c>
      <c r="H6" s="9"/>
      <c r="I6" s="9"/>
      <c r="J6" s="9"/>
      <c r="K6" s="9"/>
      <c r="L6" s="9"/>
      <c r="M6" s="9"/>
      <c r="N6" s="9"/>
      <c r="O6" s="9"/>
      <c r="P6" s="9"/>
    </row>
    <row r="7" ht="30.0" customHeight="1">
      <c r="A7" s="4" t="s">
        <v>26</v>
      </c>
      <c r="B7" s="5" t="s">
        <v>27</v>
      </c>
      <c r="C7" s="6">
        <v>2419.63</v>
      </c>
      <c r="D7" s="7" t="str">
        <f>HYPERLINK("http://www.usrc.it/AppRendiConta/det_8_20160316.pdf","Determina nr. 8 del 16/03/2016")</f>
        <v>Determina nr. 8 del 16/03/2016</v>
      </c>
      <c r="E7" s="5" t="s">
        <v>28</v>
      </c>
      <c r="F7" s="8" t="s">
        <v>12</v>
      </c>
      <c r="G7" s="8" t="s">
        <v>13</v>
      </c>
      <c r="H7" s="9"/>
      <c r="I7" s="9"/>
      <c r="J7" s="9"/>
      <c r="K7" s="9"/>
      <c r="L7" s="9"/>
      <c r="M7" s="9"/>
      <c r="N7" s="9"/>
      <c r="O7" s="9"/>
      <c r="P7" s="9"/>
    </row>
    <row r="8" ht="30.0" customHeight="1">
      <c r="A8" s="4" t="s">
        <v>14</v>
      </c>
      <c r="B8" s="5" t="s">
        <v>15</v>
      </c>
      <c r="C8" s="6">
        <v>29865.2</v>
      </c>
      <c r="D8" s="7" t="str">
        <f>HYPERLINK("http://www.usrc.it/AppRendiConta/det_10_20160317.pdf","Determina nr. 10 del 17/03/2016")</f>
        <v>Determina nr. 10 del 17/03/2016</v>
      </c>
      <c r="E8" s="5" t="s">
        <v>29</v>
      </c>
      <c r="F8" s="8" t="s">
        <v>12</v>
      </c>
      <c r="G8" s="8" t="s">
        <v>30</v>
      </c>
      <c r="H8" s="9"/>
      <c r="I8" s="9"/>
      <c r="J8" s="9"/>
      <c r="K8" s="9"/>
      <c r="L8" s="9"/>
      <c r="M8" s="9"/>
      <c r="N8" s="9"/>
      <c r="O8" s="9"/>
      <c r="P8" s="9"/>
    </row>
    <row r="9" ht="30.0" customHeight="1">
      <c r="A9" s="4" t="s">
        <v>31</v>
      </c>
      <c r="B9" s="5" t="s">
        <v>32</v>
      </c>
      <c r="C9" s="6">
        <v>33168.5</v>
      </c>
      <c r="D9" s="7" t="str">
        <f>HYPERLINK("http://www.usrc.it/AppRendiConta/det_11_20160317.pdf","Determina nr. 11 del 17/03/2016")</f>
        <v>Determina nr. 11 del 17/03/2016</v>
      </c>
      <c r="E9" s="5" t="s">
        <v>33</v>
      </c>
      <c r="F9" s="8" t="s">
        <v>12</v>
      </c>
      <c r="G9" s="8" t="s">
        <v>13</v>
      </c>
      <c r="H9" s="9"/>
      <c r="I9" s="9"/>
      <c r="J9" s="9"/>
      <c r="K9" s="9"/>
      <c r="L9" s="9"/>
      <c r="M9" s="9"/>
      <c r="N9" s="9"/>
      <c r="O9" s="9"/>
      <c r="P9" s="9"/>
    </row>
    <row r="10" ht="30.0" customHeight="1">
      <c r="A10" s="4" t="s">
        <v>34</v>
      </c>
      <c r="B10" s="8" t="s">
        <v>35</v>
      </c>
      <c r="C10" s="6">
        <v>4345.0</v>
      </c>
      <c r="D10" s="7" t="str">
        <f>HYPERLINK("http://www.usrc.it/AppRendiConta/det_12_20160317.pdf","Determina nr. 12 del 17/03/2016")</f>
        <v>Determina nr. 12 del 17/03/2016</v>
      </c>
      <c r="E10" s="5" t="s">
        <v>36</v>
      </c>
      <c r="F10" s="8" t="s">
        <v>12</v>
      </c>
      <c r="G10" s="8" t="s">
        <v>30</v>
      </c>
      <c r="H10" s="9"/>
      <c r="I10" s="9"/>
      <c r="J10" s="9"/>
      <c r="K10" s="9"/>
      <c r="L10" s="9"/>
      <c r="M10" s="9"/>
      <c r="N10" s="9"/>
      <c r="O10" s="9"/>
      <c r="P10" s="9"/>
    </row>
    <row r="11" ht="30.0" customHeight="1">
      <c r="A11" s="4" t="s">
        <v>37</v>
      </c>
      <c r="B11" s="8" t="s">
        <v>38</v>
      </c>
      <c r="C11" s="6">
        <v>2472.64</v>
      </c>
      <c r="D11" s="7" t="str">
        <f>HYPERLINK("http://www.usrc.it/AppRendiConta/det_13_20160317.pdf","Determina nr. 13 del 17/03/2016")</f>
        <v>Determina nr. 13 del 17/03/2016</v>
      </c>
      <c r="E11" s="5" t="s">
        <v>39</v>
      </c>
      <c r="F11" s="8" t="s">
        <v>12</v>
      </c>
      <c r="G11" s="8" t="s">
        <v>13</v>
      </c>
      <c r="H11" s="9"/>
      <c r="I11" s="9"/>
      <c r="J11" s="9"/>
      <c r="K11" s="9"/>
      <c r="L11" s="9"/>
      <c r="M11" s="9"/>
      <c r="N11" s="9"/>
      <c r="O11" s="9"/>
      <c r="P11" s="9"/>
    </row>
    <row r="12" ht="30.0" customHeight="1">
      <c r="A12" s="4" t="s">
        <v>40</v>
      </c>
      <c r="B12" s="5" t="s">
        <v>41</v>
      </c>
      <c r="C12" s="6">
        <v>30249.78</v>
      </c>
      <c r="D12" s="7" t="str">
        <f>HYPERLINK("http://www.usrc.it/AppRendiConta/det_14_20160317.pdf","Determina nr. 14 del 17/03/2016")</f>
        <v>Determina nr. 14 del 17/03/2016</v>
      </c>
      <c r="E12" s="5" t="s">
        <v>42</v>
      </c>
      <c r="F12" s="8" t="s">
        <v>12</v>
      </c>
      <c r="G12" s="8" t="s">
        <v>13</v>
      </c>
      <c r="H12" s="9"/>
      <c r="I12" s="9"/>
      <c r="J12" s="9"/>
      <c r="K12" s="9"/>
      <c r="L12" s="9"/>
      <c r="M12" s="9"/>
      <c r="N12" s="9"/>
      <c r="O12" s="9"/>
      <c r="P12" s="9"/>
    </row>
    <row r="13" ht="30.0" customHeight="1">
      <c r="A13" s="4" t="s">
        <v>43</v>
      </c>
      <c r="B13" s="5" t="s">
        <v>44</v>
      </c>
      <c r="C13" s="6">
        <v>101.3</v>
      </c>
      <c r="D13" s="7" t="str">
        <f>HYPERLINK("http://www.usrc.it/AppRendiConta/det_17_20160317.pdf","Determina nr. 17 del 17/03/2016")</f>
        <v>Determina nr. 17 del 17/03/2016</v>
      </c>
      <c r="E13" s="5" t="s">
        <v>45</v>
      </c>
      <c r="F13" s="8" t="s">
        <v>12</v>
      </c>
      <c r="G13" s="8" t="s">
        <v>13</v>
      </c>
      <c r="H13" s="9"/>
      <c r="I13" s="9"/>
      <c r="J13" s="9"/>
      <c r="K13" s="9"/>
      <c r="L13" s="9"/>
      <c r="M13" s="9"/>
      <c r="N13" s="9"/>
      <c r="O13" s="9"/>
      <c r="P13" s="9"/>
    </row>
    <row r="14" ht="30.0" customHeight="1">
      <c r="A14" s="4" t="s">
        <v>46</v>
      </c>
      <c r="B14" s="5" t="s">
        <v>47</v>
      </c>
      <c r="C14" s="6">
        <v>33693.99</v>
      </c>
      <c r="D14" s="7" t="str">
        <f>HYPERLINK("http://www.usrc.it/AppRendiConta/det_19_20160317.pdf","Determina nr. 19 del 17/03/2016")</f>
        <v>Determina nr. 19 del 17/03/2016</v>
      </c>
      <c r="E14" s="5" t="s">
        <v>48</v>
      </c>
      <c r="F14" s="8" t="s">
        <v>12</v>
      </c>
      <c r="G14" s="8" t="s">
        <v>30</v>
      </c>
      <c r="H14" s="9"/>
      <c r="I14" s="9"/>
      <c r="J14" s="9"/>
      <c r="K14" s="9"/>
      <c r="L14" s="9"/>
      <c r="M14" s="9"/>
      <c r="N14" s="9"/>
      <c r="O14" s="9"/>
      <c r="P14" s="9"/>
    </row>
    <row r="15" ht="30.0" customHeight="1">
      <c r="A15" s="4" t="s">
        <v>49</v>
      </c>
      <c r="B15" s="5" t="s">
        <v>50</v>
      </c>
      <c r="C15" s="6">
        <v>54314.11</v>
      </c>
      <c r="D15" s="7" t="str">
        <f>HYPERLINK("http://www.usrc.it/AppRendiConta/det_20_20160317.pdf","Determina nr. 20 del 17/03/2016")</f>
        <v>Determina nr. 20 del 17/03/2016</v>
      </c>
      <c r="E15" s="5" t="s">
        <v>51</v>
      </c>
      <c r="F15" s="8" t="s">
        <v>12</v>
      </c>
      <c r="G15" s="8" t="s">
        <v>52</v>
      </c>
      <c r="H15" s="9"/>
      <c r="I15" s="9"/>
      <c r="J15" s="9"/>
      <c r="K15" s="9"/>
      <c r="L15" s="9"/>
      <c r="M15" s="9"/>
      <c r="N15" s="9"/>
      <c r="O15" s="9"/>
      <c r="P15" s="9"/>
    </row>
    <row r="16" ht="30.0" customHeight="1">
      <c r="A16" s="4" t="s">
        <v>53</v>
      </c>
      <c r="B16" s="5" t="s">
        <v>54</v>
      </c>
      <c r="C16" s="6">
        <v>177346.48</v>
      </c>
      <c r="D16" s="7" t="str">
        <f>HYPERLINK("http://www.usrc.it/AppRendiConta/det_21_20160317.pdf","Determina nr. 21 del 17/03/2016")</f>
        <v>Determina nr. 21 del 17/03/2016</v>
      </c>
      <c r="E16" s="5" t="s">
        <v>55</v>
      </c>
      <c r="F16" s="8" t="s">
        <v>12</v>
      </c>
      <c r="G16" s="8" t="s">
        <v>52</v>
      </c>
      <c r="H16" s="9"/>
      <c r="I16" s="9"/>
      <c r="J16" s="9"/>
      <c r="K16" s="9"/>
      <c r="L16" s="9"/>
      <c r="M16" s="9"/>
      <c r="N16" s="9"/>
      <c r="O16" s="9"/>
      <c r="P16" s="9"/>
    </row>
    <row r="17" ht="30.0" customHeight="1">
      <c r="A17" s="4" t="s">
        <v>56</v>
      </c>
      <c r="B17" s="5" t="s">
        <v>57</v>
      </c>
      <c r="C17" s="6">
        <v>36180.15</v>
      </c>
      <c r="D17" s="7" t="str">
        <f>HYPERLINK("http://www.usrc.it/AppRendiConta/det_22_20160317.pdf","Determina nr. 22 del 17/03/2016")</f>
        <v>Determina nr. 22 del 17/03/2016</v>
      </c>
      <c r="E17" s="5" t="s">
        <v>58</v>
      </c>
      <c r="F17" s="8" t="s">
        <v>12</v>
      </c>
      <c r="G17" s="8" t="s">
        <v>52</v>
      </c>
      <c r="H17" s="9"/>
      <c r="I17" s="9"/>
      <c r="J17" s="9"/>
      <c r="K17" s="9"/>
      <c r="L17" s="9"/>
      <c r="M17" s="9"/>
      <c r="N17" s="9"/>
      <c r="O17" s="9"/>
      <c r="P17" s="9"/>
    </row>
    <row r="18" ht="30.0" customHeight="1">
      <c r="A18" s="4" t="s">
        <v>59</v>
      </c>
      <c r="B18" s="5" t="s">
        <v>60</v>
      </c>
      <c r="C18" s="6">
        <v>39030.48</v>
      </c>
      <c r="D18" s="7" t="str">
        <f>HYPERLINK("http://www.usrc.it/AppRendiConta/det_23_20160317.pdf","Determina nr. 23 del 17/03/2016")</f>
        <v>Determina nr. 23 del 17/03/2016</v>
      </c>
      <c r="E18" s="5" t="s">
        <v>61</v>
      </c>
      <c r="F18" s="8" t="s">
        <v>12</v>
      </c>
      <c r="G18" s="8" t="s">
        <v>62</v>
      </c>
      <c r="H18" s="9"/>
      <c r="I18" s="9"/>
      <c r="J18" s="9"/>
      <c r="K18" s="9"/>
      <c r="L18" s="9"/>
      <c r="M18" s="9"/>
      <c r="N18" s="9"/>
      <c r="O18" s="9"/>
      <c r="P18" s="9"/>
    </row>
    <row r="19" ht="30.0" customHeight="1">
      <c r="A19" s="4" t="s">
        <v>34</v>
      </c>
      <c r="B19" s="8" t="s">
        <v>35</v>
      </c>
      <c r="C19" s="6">
        <v>114027.41</v>
      </c>
      <c r="D19" s="7" t="str">
        <f>HYPERLINK("http://www.usrc.it/AppRendiConta/det_24_20160317.pdf","Determina nr. 24 del 17/03/2016")</f>
        <v>Determina nr. 24 del 17/03/2016</v>
      </c>
      <c r="E19" s="5" t="s">
        <v>63</v>
      </c>
      <c r="F19" s="8" t="s">
        <v>12</v>
      </c>
      <c r="G19" s="8" t="s">
        <v>62</v>
      </c>
      <c r="H19" s="9"/>
      <c r="I19" s="9"/>
      <c r="J19" s="9"/>
      <c r="K19" s="9"/>
      <c r="L19" s="9"/>
      <c r="M19" s="9"/>
      <c r="N19" s="9"/>
      <c r="O19" s="9"/>
      <c r="P19" s="9"/>
    </row>
    <row r="20" ht="30.0" customHeight="1">
      <c r="A20" s="4" t="s">
        <v>64</v>
      </c>
      <c r="B20" s="5" t="s">
        <v>65</v>
      </c>
      <c r="C20" s="6">
        <v>275700.68</v>
      </c>
      <c r="D20" s="7" t="str">
        <f>HYPERLINK("http://www.usrc.it/AppRendiConta/det_26_20160317.pdf","Determina nr. 26 del 17/03/2016")</f>
        <v>Determina nr. 26 del 17/03/2016</v>
      </c>
      <c r="E20" s="5" t="s">
        <v>66</v>
      </c>
      <c r="F20" s="8" t="s">
        <v>12</v>
      </c>
      <c r="G20" s="8" t="s">
        <v>67</v>
      </c>
      <c r="H20" s="9"/>
      <c r="I20" s="9"/>
      <c r="J20" s="9"/>
      <c r="K20" s="9"/>
      <c r="L20" s="9"/>
      <c r="M20" s="9"/>
      <c r="N20" s="9"/>
      <c r="O20" s="9"/>
      <c r="P20" s="9"/>
    </row>
    <row r="21" ht="30.0" customHeight="1">
      <c r="A21" s="4" t="s">
        <v>68</v>
      </c>
      <c r="B21" s="5" t="s">
        <v>69</v>
      </c>
      <c r="C21" s="6">
        <v>96736.03</v>
      </c>
      <c r="D21" s="7" t="str">
        <f>HYPERLINK("http://www.usrc.it/AppRendiConta/det_28_20160317.pdf","Determina nr. 28 del 17/03/2016")</f>
        <v>Determina nr. 28 del 17/03/2016</v>
      </c>
      <c r="E21" s="5" t="s">
        <v>70</v>
      </c>
      <c r="F21" s="8" t="s">
        <v>12</v>
      </c>
      <c r="G21" s="8" t="s">
        <v>71</v>
      </c>
      <c r="H21" s="9"/>
      <c r="I21" s="9"/>
      <c r="J21" s="9"/>
      <c r="K21" s="9"/>
      <c r="L21" s="9"/>
      <c r="M21" s="9"/>
      <c r="N21" s="9"/>
      <c r="O21" s="9"/>
      <c r="P21" s="9"/>
    </row>
    <row r="22" ht="30.0" customHeight="1">
      <c r="A22" s="4" t="s">
        <v>72</v>
      </c>
      <c r="B22" s="5" t="s">
        <v>73</v>
      </c>
      <c r="C22" s="6">
        <v>19713.92</v>
      </c>
      <c r="D22" s="7" t="str">
        <f>HYPERLINK("http://www.usrc.it/AppRendiConta/det_29_20160317.pdf","Determina nr. 29 del 17/03/2016")</f>
        <v>Determina nr. 29 del 17/03/2016</v>
      </c>
      <c r="E22" s="5" t="s">
        <v>74</v>
      </c>
      <c r="F22" s="8" t="s">
        <v>12</v>
      </c>
      <c r="G22" s="8" t="s">
        <v>62</v>
      </c>
      <c r="H22" s="9"/>
      <c r="I22" s="9"/>
      <c r="J22" s="9"/>
      <c r="K22" s="9"/>
      <c r="L22" s="9"/>
      <c r="M22" s="9"/>
      <c r="N22" s="9"/>
      <c r="O22" s="9"/>
      <c r="P22" s="9"/>
    </row>
    <row r="23" ht="30.0" customHeight="1">
      <c r="A23" s="4" t="s">
        <v>9</v>
      </c>
      <c r="B23" s="5" t="s">
        <v>10</v>
      </c>
      <c r="C23" s="6">
        <v>81163.32</v>
      </c>
      <c r="D23" s="7" t="str">
        <f>HYPERLINK("http://www.usrc.it/AppRendiConta/det_30_20160317.pdf","Determina nr. 30 del 17/03/2016")</f>
        <v>Determina nr. 30 del 17/03/2016</v>
      </c>
      <c r="E23" s="5" t="s">
        <v>75</v>
      </c>
      <c r="F23" s="8" t="s">
        <v>12</v>
      </c>
      <c r="G23" s="8" t="s">
        <v>67</v>
      </c>
      <c r="H23" s="9"/>
      <c r="I23" s="9"/>
      <c r="J23" s="9"/>
      <c r="K23" s="9"/>
      <c r="L23" s="9"/>
      <c r="M23" s="9"/>
      <c r="N23" s="9"/>
      <c r="O23" s="9"/>
      <c r="P23" s="9"/>
    </row>
    <row r="24" ht="30.0" customHeight="1">
      <c r="A24" s="4" t="s">
        <v>72</v>
      </c>
      <c r="B24" s="5" t="s">
        <v>73</v>
      </c>
      <c r="C24" s="6">
        <v>6344.0</v>
      </c>
      <c r="D24" s="7" t="str">
        <f>HYPERLINK("http://www.usrc.it/AppRendiConta/det_31_20160317.pdf","Determina nr. 31 del 17/03/2016")</f>
        <v>Determina nr. 31 del 17/03/2016</v>
      </c>
      <c r="E24" s="5" t="s">
        <v>76</v>
      </c>
      <c r="F24" s="8" t="s">
        <v>12</v>
      </c>
      <c r="G24" s="8" t="s">
        <v>67</v>
      </c>
      <c r="H24" s="9"/>
      <c r="I24" s="9"/>
      <c r="J24" s="9"/>
      <c r="K24" s="9"/>
      <c r="L24" s="9"/>
      <c r="M24" s="9"/>
      <c r="N24" s="9"/>
      <c r="O24" s="9"/>
      <c r="P24" s="9"/>
    </row>
    <row r="25" ht="30.0" customHeight="1">
      <c r="A25" s="4" t="s">
        <v>14</v>
      </c>
      <c r="B25" s="5" t="s">
        <v>15</v>
      </c>
      <c r="C25" s="6">
        <v>52620.0</v>
      </c>
      <c r="D25" s="7" t="str">
        <f>HYPERLINK("http://www.usrc.it/AppRendiConta/det_32_20160317.pdf","Determina nr. 32 del 17/03/2016")</f>
        <v>Determina nr. 32 del 17/03/2016</v>
      </c>
      <c r="E25" s="5" t="s">
        <v>77</v>
      </c>
      <c r="F25" s="8" t="s">
        <v>12</v>
      </c>
      <c r="G25" s="8" t="s">
        <v>67</v>
      </c>
      <c r="H25" s="9"/>
      <c r="I25" s="9"/>
      <c r="J25" s="9"/>
      <c r="K25" s="9"/>
      <c r="L25" s="9"/>
      <c r="M25" s="9"/>
      <c r="N25" s="9"/>
      <c r="O25" s="9"/>
      <c r="P25" s="9"/>
    </row>
    <row r="26" ht="30.0" customHeight="1">
      <c r="A26" s="4" t="s">
        <v>34</v>
      </c>
      <c r="B26" s="8" t="s">
        <v>35</v>
      </c>
      <c r="C26" s="6">
        <v>4990349.34</v>
      </c>
      <c r="D26" s="7" t="str">
        <f>HYPERLINK("http://www.usrc.it/AppRendiConta/det_37_20160318.pdf","Determina nr. 37 del 18/03/2016")</f>
        <v>Determina nr. 37 del 18/03/2016</v>
      </c>
      <c r="E26" s="8" t="s">
        <v>78</v>
      </c>
      <c r="F26" s="8" t="s">
        <v>12</v>
      </c>
      <c r="G26" s="8" t="s">
        <v>79</v>
      </c>
      <c r="H26" s="9"/>
      <c r="I26" s="9"/>
      <c r="J26" s="9"/>
      <c r="K26" s="9"/>
      <c r="L26" s="9"/>
      <c r="M26" s="9"/>
      <c r="N26" s="9"/>
      <c r="O26" s="9"/>
      <c r="P26" s="9"/>
    </row>
    <row r="27" ht="30.0" customHeight="1">
      <c r="A27" s="4" t="s">
        <v>80</v>
      </c>
      <c r="B27" s="5" t="s">
        <v>81</v>
      </c>
      <c r="C27" s="6">
        <v>53294.71</v>
      </c>
      <c r="D27" s="7" t="str">
        <f>HYPERLINK("http://www.usrc.it/AppRendiConta/det_38_20160318.pdf","Determina nr. 38 del 18/03/2016")</f>
        <v>Determina nr. 38 del 18/03/2016</v>
      </c>
      <c r="E27" s="5" t="s">
        <v>82</v>
      </c>
      <c r="F27" s="8" t="s">
        <v>12</v>
      </c>
      <c r="G27" s="8" t="s">
        <v>83</v>
      </c>
      <c r="H27" s="9"/>
      <c r="I27" s="9"/>
      <c r="J27" s="9"/>
      <c r="K27" s="9"/>
      <c r="L27" s="9"/>
      <c r="M27" s="9"/>
      <c r="N27" s="9"/>
      <c r="O27" s="9"/>
      <c r="P27" s="9"/>
    </row>
    <row r="28" ht="30.0" customHeight="1">
      <c r="A28" s="4" t="s">
        <v>46</v>
      </c>
      <c r="B28" s="5" t="s">
        <v>47</v>
      </c>
      <c r="C28" s="6">
        <v>84834.38</v>
      </c>
      <c r="D28" s="7" t="str">
        <f>HYPERLINK("http://www.usrc.it/AppRendiConta/det_42_20160318.pdf","Determina nr. 42 del 18/03/2016")</f>
        <v>Determina nr. 42 del 18/03/2016</v>
      </c>
      <c r="E28" s="5" t="s">
        <v>84</v>
      </c>
      <c r="F28" s="8" t="s">
        <v>12</v>
      </c>
      <c r="G28" s="8" t="s">
        <v>85</v>
      </c>
      <c r="H28" s="9"/>
      <c r="I28" s="9"/>
      <c r="J28" s="9"/>
      <c r="K28" s="9"/>
      <c r="L28" s="9"/>
      <c r="M28" s="9"/>
      <c r="N28" s="9"/>
      <c r="O28" s="9"/>
      <c r="P28" s="9"/>
    </row>
    <row r="29" ht="30.0" customHeight="1">
      <c r="A29" s="4" t="s">
        <v>86</v>
      </c>
      <c r="B29" s="5" t="s">
        <v>87</v>
      </c>
      <c r="C29" s="6">
        <v>87500.0</v>
      </c>
      <c r="D29" s="7" t="str">
        <f>HYPERLINK("http://www.usrc.it/AppRendiConta/det_43_20160318.pdf","Determina nr. 43 del 18/03/2016")</f>
        <v>Determina nr. 43 del 18/03/2016</v>
      </c>
      <c r="E29" s="5" t="s">
        <v>88</v>
      </c>
      <c r="F29" s="8" t="s">
        <v>12</v>
      </c>
      <c r="G29" s="8" t="s">
        <v>85</v>
      </c>
      <c r="H29" s="9"/>
      <c r="I29" s="9"/>
      <c r="J29" s="9"/>
      <c r="K29" s="9"/>
      <c r="L29" s="9"/>
      <c r="M29" s="9"/>
      <c r="N29" s="9"/>
      <c r="O29" s="9"/>
      <c r="P29" s="9"/>
    </row>
    <row r="30" ht="30.0" customHeight="1">
      <c r="A30" s="4" t="s">
        <v>89</v>
      </c>
      <c r="B30" s="5" t="s">
        <v>90</v>
      </c>
      <c r="C30" s="6">
        <v>2536887.73</v>
      </c>
      <c r="D30" s="7" t="str">
        <f>HYPERLINK("http://www.usrc.it/AppRendiConta/det_44_20160318.pdf","Determina nr. 44 del 18/03/2016")</f>
        <v>Determina nr. 44 del 18/03/2016</v>
      </c>
      <c r="E30" s="5" t="s">
        <v>91</v>
      </c>
      <c r="F30" s="8" t="s">
        <v>12</v>
      </c>
      <c r="G30" s="8" t="s">
        <v>79</v>
      </c>
      <c r="H30" s="9"/>
      <c r="I30" s="9"/>
      <c r="J30" s="9"/>
      <c r="K30" s="9"/>
      <c r="L30" s="9"/>
      <c r="M30" s="9"/>
      <c r="N30" s="9"/>
      <c r="O30" s="9"/>
      <c r="P30" s="9"/>
    </row>
    <row r="31" ht="30.0" customHeight="1">
      <c r="A31" s="4" t="s">
        <v>92</v>
      </c>
      <c r="B31" s="5" t="s">
        <v>93</v>
      </c>
      <c r="C31" s="6">
        <v>76656.21</v>
      </c>
      <c r="D31" s="7" t="str">
        <f>HYPERLINK("http://www.usrc.it/AppRendiConta/det_47_20160318.pdf","Determina nr. 47 del 18/03/2016")</f>
        <v>Determina nr. 47 del 18/03/2016</v>
      </c>
      <c r="E31" s="5" t="s">
        <v>94</v>
      </c>
      <c r="F31" s="8" t="s">
        <v>12</v>
      </c>
      <c r="G31" s="8" t="s">
        <v>83</v>
      </c>
      <c r="H31" s="9"/>
      <c r="I31" s="9"/>
      <c r="J31" s="9"/>
      <c r="K31" s="9"/>
      <c r="L31" s="9"/>
      <c r="M31" s="9"/>
      <c r="N31" s="9"/>
      <c r="O31" s="9"/>
      <c r="P31" s="9"/>
    </row>
    <row r="32" ht="30.0" customHeight="1">
      <c r="A32" s="4" t="s">
        <v>95</v>
      </c>
      <c r="B32" s="5" t="s">
        <v>96</v>
      </c>
      <c r="C32" s="6">
        <v>84014.21</v>
      </c>
      <c r="D32" s="7" t="str">
        <f>HYPERLINK("http://www.usrc.it/AppRendiConta/det_49_20160318.pdf","Determina nr. 49 del 18/03/2016")</f>
        <v>Determina nr. 49 del 18/03/2016</v>
      </c>
      <c r="E32" s="5" t="s">
        <v>97</v>
      </c>
      <c r="F32" s="8" t="s">
        <v>12</v>
      </c>
      <c r="G32" s="8" t="s">
        <v>83</v>
      </c>
      <c r="H32" s="9"/>
      <c r="I32" s="9"/>
      <c r="J32" s="9"/>
      <c r="K32" s="9"/>
      <c r="L32" s="9"/>
      <c r="M32" s="9"/>
      <c r="N32" s="9"/>
      <c r="O32" s="9"/>
      <c r="P32" s="9"/>
    </row>
    <row r="33" ht="30.0" customHeight="1">
      <c r="A33" s="4" t="s">
        <v>98</v>
      </c>
      <c r="B33" s="5" t="s">
        <v>99</v>
      </c>
      <c r="C33" s="6">
        <v>93577.17</v>
      </c>
      <c r="D33" s="7" t="str">
        <f>HYPERLINK("http://www.usrc.it/AppRendiConta/det_50_20160318.pdf","Determina nr. 50 del 18/03/2016")</f>
        <v>Determina nr. 50 del 18/03/2016</v>
      </c>
      <c r="E33" s="5" t="s">
        <v>100</v>
      </c>
      <c r="F33" s="8" t="s">
        <v>12</v>
      </c>
      <c r="G33" s="8" t="s">
        <v>83</v>
      </c>
      <c r="H33" s="9"/>
      <c r="I33" s="9"/>
      <c r="J33" s="9"/>
      <c r="K33" s="9"/>
      <c r="L33" s="9"/>
      <c r="M33" s="9"/>
      <c r="N33" s="9"/>
      <c r="O33" s="9"/>
      <c r="P33" s="9"/>
    </row>
    <row r="34" ht="30.0" customHeight="1">
      <c r="A34" s="4" t="s">
        <v>101</v>
      </c>
      <c r="B34" s="5" t="s">
        <v>102</v>
      </c>
      <c r="C34" s="6">
        <v>190092.26</v>
      </c>
      <c r="D34" s="7" t="str">
        <f>HYPERLINK("http://www.usrc.it/AppRendiConta/det_52_20160321.pdf","Determina nr. 52 del 21/03/2016")</f>
        <v>Determina nr. 52 del 21/03/2016</v>
      </c>
      <c r="E34" s="5" t="s">
        <v>103</v>
      </c>
      <c r="F34" s="8" t="s">
        <v>12</v>
      </c>
      <c r="G34" s="8" t="s">
        <v>83</v>
      </c>
      <c r="H34" s="9"/>
      <c r="I34" s="9"/>
      <c r="J34" s="9"/>
      <c r="K34" s="9"/>
      <c r="L34" s="9"/>
      <c r="M34" s="9"/>
      <c r="N34" s="9"/>
      <c r="O34" s="9"/>
      <c r="P34" s="9"/>
    </row>
    <row r="35" ht="30.0" customHeight="1">
      <c r="A35" s="4" t="s">
        <v>104</v>
      </c>
      <c r="B35" s="5" t="s">
        <v>105</v>
      </c>
      <c r="C35" s="6">
        <v>245645.7</v>
      </c>
      <c r="D35" s="7" t="str">
        <f>HYPERLINK("http://www.usrc.it/AppRendiConta/det_53_20160321.pdf","Determina nr. 53 del 21/03/2016")</f>
        <v>Determina nr. 53 del 21/03/2016</v>
      </c>
      <c r="E35" s="5" t="s">
        <v>106</v>
      </c>
      <c r="F35" s="8" t="s">
        <v>12</v>
      </c>
      <c r="G35" s="8" t="s">
        <v>83</v>
      </c>
      <c r="H35" s="9"/>
      <c r="I35" s="9"/>
      <c r="J35" s="9"/>
      <c r="K35" s="9"/>
      <c r="L35" s="9"/>
      <c r="M35" s="9"/>
      <c r="N35" s="9"/>
      <c r="O35" s="9"/>
      <c r="P35" s="9"/>
    </row>
    <row r="36" ht="30.0" customHeight="1">
      <c r="A36" s="4" t="s">
        <v>107</v>
      </c>
      <c r="B36" s="5" t="s">
        <v>108</v>
      </c>
      <c r="C36" s="6">
        <v>114184.15</v>
      </c>
      <c r="D36" s="7" t="str">
        <f>HYPERLINK("http://www.usrc.it/AppRendiConta/det_57_20160321.pdf","Determina nr. 57 del 21/03/2016")</f>
        <v>Determina nr. 57 del 21/03/2016</v>
      </c>
      <c r="E36" s="5" t="s">
        <v>109</v>
      </c>
      <c r="F36" s="8" t="s">
        <v>12</v>
      </c>
      <c r="G36" s="8" t="s">
        <v>67</v>
      </c>
      <c r="H36" s="9"/>
      <c r="I36" s="9"/>
      <c r="J36" s="9"/>
      <c r="K36" s="9"/>
      <c r="L36" s="9"/>
      <c r="M36" s="9"/>
      <c r="N36" s="9"/>
      <c r="O36" s="9"/>
      <c r="P36" s="9"/>
    </row>
    <row r="37" ht="30.0" customHeight="1">
      <c r="A37" s="4" t="s">
        <v>20</v>
      </c>
      <c r="B37" s="5" t="s">
        <v>21</v>
      </c>
      <c r="C37" s="6">
        <v>97306.34</v>
      </c>
      <c r="D37" s="7" t="str">
        <f>HYPERLINK("http://www.usrc.it/AppRendiConta/det_58_20160321.pdf","Determina nr. 58 del 21/03/2016")</f>
        <v>Determina nr. 58 del 21/03/2016</v>
      </c>
      <c r="E37" s="5" t="s">
        <v>110</v>
      </c>
      <c r="F37" s="8" t="s">
        <v>12</v>
      </c>
      <c r="G37" s="8" t="s">
        <v>67</v>
      </c>
      <c r="H37" s="9"/>
      <c r="I37" s="9"/>
      <c r="J37" s="9"/>
      <c r="K37" s="9"/>
      <c r="L37" s="9"/>
      <c r="M37" s="9"/>
      <c r="N37" s="9"/>
      <c r="O37" s="9"/>
      <c r="P37" s="9"/>
    </row>
    <row r="38" ht="30.0" customHeight="1">
      <c r="A38" s="4" t="s">
        <v>17</v>
      </c>
      <c r="B38" s="5" t="s">
        <v>18</v>
      </c>
      <c r="C38" s="6">
        <v>56882.09</v>
      </c>
      <c r="D38" s="7" t="str">
        <f>HYPERLINK("http://www.usrc.it/AppRendiConta/det_59_20160321.pdf","Determina nr. 59 del 21/03/2016")</f>
        <v>Determina nr. 59 del 21/03/2016</v>
      </c>
      <c r="E38" s="5" t="s">
        <v>111</v>
      </c>
      <c r="F38" s="8" t="s">
        <v>12</v>
      </c>
      <c r="G38" s="8" t="s">
        <v>67</v>
      </c>
      <c r="H38" s="9"/>
      <c r="I38" s="9"/>
      <c r="J38" s="9"/>
      <c r="K38" s="9"/>
      <c r="L38" s="9"/>
      <c r="M38" s="9"/>
      <c r="N38" s="9"/>
      <c r="O38" s="9"/>
      <c r="P38" s="9"/>
    </row>
    <row r="39" ht="30.0" customHeight="1">
      <c r="A39" s="4" t="s">
        <v>112</v>
      </c>
      <c r="B39" s="5" t="s">
        <v>113</v>
      </c>
      <c r="C39" s="6">
        <v>10319.05</v>
      </c>
      <c r="D39" s="7" t="str">
        <f>HYPERLINK("http://www.usrc.it/AppRendiConta/det_61_20160321.pdf","Determina nr. 61 del 21/03/2016")</f>
        <v>Determina nr. 61 del 21/03/2016</v>
      </c>
      <c r="E39" s="5" t="s">
        <v>114</v>
      </c>
      <c r="F39" s="8" t="s">
        <v>12</v>
      </c>
      <c r="G39" s="8" t="s">
        <v>67</v>
      </c>
      <c r="H39" s="9"/>
      <c r="I39" s="9"/>
      <c r="J39" s="9"/>
      <c r="K39" s="9"/>
      <c r="L39" s="9"/>
      <c r="M39" s="9"/>
      <c r="N39" s="9"/>
      <c r="O39" s="9"/>
      <c r="P39" s="9"/>
    </row>
    <row r="40" ht="30.0" customHeight="1">
      <c r="A40" s="4" t="s">
        <v>115</v>
      </c>
      <c r="B40" s="5" t="s">
        <v>116</v>
      </c>
      <c r="C40" s="6">
        <v>1285.0</v>
      </c>
      <c r="D40" s="7" t="str">
        <f>HYPERLINK("http://www.usrc.it/AppRendiConta/det_62_20160321.pdf","Determina nr. 62 del 21/03/2016")</f>
        <v>Determina nr. 62 del 21/03/2016</v>
      </c>
      <c r="E40" s="5" t="s">
        <v>117</v>
      </c>
      <c r="F40" s="8" t="s">
        <v>12</v>
      </c>
      <c r="G40" s="8" t="s">
        <v>67</v>
      </c>
      <c r="H40" s="9"/>
      <c r="I40" s="9"/>
      <c r="J40" s="9"/>
      <c r="K40" s="9"/>
      <c r="L40" s="9"/>
      <c r="M40" s="9"/>
      <c r="N40" s="9"/>
      <c r="O40" s="9"/>
      <c r="P40" s="9"/>
    </row>
    <row r="41" ht="30.0" customHeight="1">
      <c r="A41" s="4" t="s">
        <v>112</v>
      </c>
      <c r="B41" s="5" t="s">
        <v>113</v>
      </c>
      <c r="C41" s="6">
        <v>6885.69</v>
      </c>
      <c r="D41" s="7" t="str">
        <f>HYPERLINK("http://www.usrc.it/AppRendiConta/det_63_20160321.pdf","Determina nr. 63 del 21/03/2016")</f>
        <v>Determina nr. 63 del 21/03/2016</v>
      </c>
      <c r="E41" s="5" t="s">
        <v>118</v>
      </c>
      <c r="F41" s="8" t="s">
        <v>12</v>
      </c>
      <c r="G41" s="8" t="s">
        <v>67</v>
      </c>
      <c r="H41" s="9"/>
      <c r="I41" s="9"/>
      <c r="J41" s="9"/>
      <c r="K41" s="9"/>
      <c r="L41" s="9"/>
      <c r="M41" s="9"/>
      <c r="N41" s="9"/>
      <c r="O41" s="9"/>
      <c r="P41" s="9"/>
    </row>
    <row r="42" ht="30.0" customHeight="1">
      <c r="A42" s="4" t="s">
        <v>119</v>
      </c>
      <c r="B42" s="5" t="s">
        <v>120</v>
      </c>
      <c r="C42" s="6">
        <v>37288.71</v>
      </c>
      <c r="D42" s="7" t="str">
        <f>HYPERLINK("http://www.usrc.it/AppRendiConta/det_66_20160321.pdf","Determina nr. 66 del 21/03/2016")</f>
        <v>Determina nr. 66 del 21/03/2016</v>
      </c>
      <c r="E42" s="5" t="s">
        <v>121</v>
      </c>
      <c r="F42" s="8" t="s">
        <v>12</v>
      </c>
      <c r="G42" s="8" t="s">
        <v>67</v>
      </c>
      <c r="H42" s="9"/>
      <c r="I42" s="9"/>
      <c r="J42" s="9"/>
      <c r="K42" s="9"/>
      <c r="L42" s="9"/>
      <c r="M42" s="9"/>
      <c r="N42" s="9"/>
      <c r="O42" s="9"/>
      <c r="P42" s="9"/>
    </row>
    <row r="43" ht="30.0" customHeight="1">
      <c r="A43" s="4" t="s">
        <v>40</v>
      </c>
      <c r="B43" s="5" t="s">
        <v>41</v>
      </c>
      <c r="C43" s="6">
        <v>61856.7</v>
      </c>
      <c r="D43" s="7" t="str">
        <f>HYPERLINK("http://www.usrc.it/AppRendiConta/det_69_20160321.pdf","Determina nr. 69 del 21/03/2016")</f>
        <v>Determina nr. 69 del 21/03/2016</v>
      </c>
      <c r="E43" s="5" t="s">
        <v>122</v>
      </c>
      <c r="F43" s="8" t="s">
        <v>12</v>
      </c>
      <c r="G43" s="8" t="s">
        <v>67</v>
      </c>
      <c r="H43" s="9"/>
      <c r="I43" s="9"/>
      <c r="J43" s="9"/>
      <c r="K43" s="9"/>
      <c r="L43" s="9"/>
      <c r="M43" s="9"/>
      <c r="N43" s="9"/>
      <c r="O43" s="9"/>
      <c r="P43" s="9"/>
    </row>
    <row r="44" ht="30.0" customHeight="1">
      <c r="A44" s="4" t="s">
        <v>123</v>
      </c>
      <c r="B44" s="5" t="s">
        <v>124</v>
      </c>
      <c r="C44" s="6">
        <v>94438.82</v>
      </c>
      <c r="D44" s="7" t="str">
        <f>HYPERLINK("http://www.usrc.it/AppRendiConta/det_71_20160321.pdf","Determina nr. 71 del 21/03/2016")</f>
        <v>Determina nr. 71 del 21/03/2016</v>
      </c>
      <c r="E44" s="5" t="s">
        <v>125</v>
      </c>
      <c r="F44" s="8" t="s">
        <v>12</v>
      </c>
      <c r="G44" s="8" t="s">
        <v>67</v>
      </c>
      <c r="H44" s="9"/>
      <c r="I44" s="9"/>
      <c r="J44" s="9"/>
      <c r="K44" s="9"/>
      <c r="L44" s="9"/>
      <c r="M44" s="9"/>
      <c r="N44" s="9"/>
      <c r="O44" s="9"/>
      <c r="P44" s="9"/>
    </row>
    <row r="45" ht="30.0" customHeight="1">
      <c r="A45" s="4" t="s">
        <v>126</v>
      </c>
      <c r="B45" s="5" t="s">
        <v>127</v>
      </c>
      <c r="C45" s="6">
        <v>420208.08</v>
      </c>
      <c r="D45" s="7" t="str">
        <f>HYPERLINK("http://www.usrc.it/AppRendiConta/det_72_20160321.pdf","Determina nr. 72 del 21/03/2016")</f>
        <v>Determina nr. 72 del 21/03/2016</v>
      </c>
      <c r="E45" s="5" t="s">
        <v>128</v>
      </c>
      <c r="F45" s="8" t="s">
        <v>12</v>
      </c>
      <c r="G45" s="8" t="s">
        <v>67</v>
      </c>
      <c r="H45" s="9"/>
      <c r="I45" s="9"/>
      <c r="J45" s="9"/>
      <c r="K45" s="9"/>
      <c r="L45" s="9"/>
      <c r="M45" s="9"/>
      <c r="N45" s="9"/>
      <c r="O45" s="9"/>
      <c r="P45" s="9"/>
    </row>
    <row r="46" ht="30.0" customHeight="1">
      <c r="A46" s="4" t="s">
        <v>107</v>
      </c>
      <c r="B46" s="5" t="s">
        <v>108</v>
      </c>
      <c r="C46" s="6">
        <v>87651.29</v>
      </c>
      <c r="D46" s="7" t="str">
        <f>HYPERLINK("http://www.usrc.it/AppRendiConta/det_73_20160321.pdf","Determina nr. 73 del 21/03/2016")</f>
        <v>Determina nr. 73 del 21/03/2016</v>
      </c>
      <c r="E46" s="5" t="s">
        <v>129</v>
      </c>
      <c r="F46" s="8" t="s">
        <v>12</v>
      </c>
      <c r="G46" s="8" t="s">
        <v>67</v>
      </c>
      <c r="H46" s="9"/>
      <c r="I46" s="9"/>
      <c r="J46" s="9"/>
      <c r="K46" s="9"/>
      <c r="L46" s="9"/>
      <c r="M46" s="9"/>
      <c r="N46" s="9"/>
      <c r="O46" s="9"/>
      <c r="P46" s="9"/>
    </row>
    <row r="47" ht="30.0" customHeight="1">
      <c r="A47" s="4" t="s">
        <v>34</v>
      </c>
      <c r="B47" s="8" t="s">
        <v>35</v>
      </c>
      <c r="C47" s="6">
        <v>31529.38</v>
      </c>
      <c r="D47" s="7" t="str">
        <f>HYPERLINK("http://www.usrc.it/AppRendiConta/det_74_20160322.pdf","Determina nr. 74 del 22/03/2016")</f>
        <v>Determina nr. 74 del 22/03/2016</v>
      </c>
      <c r="E47" s="5" t="s">
        <v>130</v>
      </c>
      <c r="F47" s="8" t="s">
        <v>12</v>
      </c>
      <c r="G47" s="8" t="s">
        <v>62</v>
      </c>
      <c r="H47" s="9"/>
      <c r="I47" s="9"/>
      <c r="J47" s="9"/>
      <c r="K47" s="9"/>
      <c r="L47" s="9"/>
      <c r="M47" s="9"/>
      <c r="N47" s="9"/>
      <c r="O47" s="9"/>
      <c r="P47" s="9"/>
    </row>
    <row r="48" ht="30.0" customHeight="1">
      <c r="A48" s="4" t="s">
        <v>131</v>
      </c>
      <c r="B48" s="5" t="s">
        <v>132</v>
      </c>
      <c r="C48" s="6">
        <v>41893.13</v>
      </c>
      <c r="D48" s="7" t="str">
        <f>HYPERLINK("http://www.usrc.it/AppRendiConta/det_75_20160322.pdf","Determina nr. 75 del 22/03/2016")</f>
        <v>Determina nr. 75 del 22/03/2016</v>
      </c>
      <c r="E48" s="5" t="s">
        <v>133</v>
      </c>
      <c r="F48" s="8" t="s">
        <v>12</v>
      </c>
      <c r="G48" s="8" t="s">
        <v>67</v>
      </c>
      <c r="H48" s="9"/>
      <c r="I48" s="9"/>
      <c r="J48" s="9"/>
      <c r="K48" s="9"/>
      <c r="L48" s="9"/>
      <c r="M48" s="9"/>
      <c r="N48" s="9"/>
      <c r="O48" s="9"/>
      <c r="P48" s="9"/>
    </row>
    <row r="49" ht="30.0" customHeight="1">
      <c r="A49" s="4" t="s">
        <v>17</v>
      </c>
      <c r="B49" s="5" t="s">
        <v>18</v>
      </c>
      <c r="C49" s="6">
        <v>50719.53</v>
      </c>
      <c r="D49" s="7" t="str">
        <f>HYPERLINK("http://www.usrc.it/AppRendiConta/det_86_20160322.pdf","Determina nr. 86 del 22/03/2016")</f>
        <v>Determina nr. 86 del 22/03/2016</v>
      </c>
      <c r="E49" s="5" t="s">
        <v>134</v>
      </c>
      <c r="F49" s="8" t="s">
        <v>12</v>
      </c>
      <c r="G49" s="8" t="s">
        <v>85</v>
      </c>
      <c r="H49" s="9"/>
      <c r="I49" s="9"/>
      <c r="J49" s="9"/>
      <c r="K49" s="9"/>
      <c r="L49" s="9"/>
      <c r="M49" s="9"/>
      <c r="N49" s="9"/>
      <c r="O49" s="9"/>
      <c r="P49" s="9"/>
    </row>
    <row r="50" ht="30.0" customHeight="1">
      <c r="A50" s="4" t="s">
        <v>135</v>
      </c>
      <c r="B50" s="5" t="s">
        <v>136</v>
      </c>
      <c r="C50" s="6">
        <v>25500.0</v>
      </c>
      <c r="D50" s="7" t="str">
        <f t="shared" ref="D50:D62" si="1">HYPERLINK("http://www.usrc.it/AppRendiConta/det_88_20160322.pdf","Determina nr. 88 del 22/03/2016")</f>
        <v>Determina nr. 88 del 22/03/2016</v>
      </c>
      <c r="E50" s="5" t="s">
        <v>137</v>
      </c>
      <c r="F50" s="8" t="s">
        <v>12</v>
      </c>
      <c r="G50" s="8" t="s">
        <v>30</v>
      </c>
      <c r="H50" s="9"/>
      <c r="I50" s="9"/>
      <c r="J50" s="9"/>
      <c r="K50" s="9"/>
      <c r="L50" s="9"/>
      <c r="M50" s="9"/>
      <c r="N50" s="9"/>
      <c r="O50" s="9"/>
      <c r="P50" s="9"/>
    </row>
    <row r="51" ht="30.0" customHeight="1">
      <c r="A51" s="4" t="s">
        <v>40</v>
      </c>
      <c r="B51" s="5" t="s">
        <v>41</v>
      </c>
      <c r="C51" s="6">
        <v>33403.34</v>
      </c>
      <c r="D51" s="7" t="str">
        <f t="shared" si="1"/>
        <v>Determina nr. 88 del 22/03/2016</v>
      </c>
      <c r="E51" s="5" t="s">
        <v>138</v>
      </c>
      <c r="F51" s="8" t="s">
        <v>12</v>
      </c>
      <c r="G51" s="8" t="s">
        <v>30</v>
      </c>
      <c r="H51" s="9"/>
      <c r="I51" s="9"/>
      <c r="J51" s="9"/>
      <c r="K51" s="9"/>
      <c r="L51" s="9"/>
      <c r="M51" s="9"/>
      <c r="N51" s="9"/>
      <c r="O51" s="9"/>
      <c r="P51" s="9"/>
    </row>
    <row r="52" ht="30.0" customHeight="1">
      <c r="A52" s="4" t="s">
        <v>139</v>
      </c>
      <c r="B52" s="5" t="s">
        <v>140</v>
      </c>
      <c r="C52" s="6">
        <v>41700.0</v>
      </c>
      <c r="D52" s="7" t="str">
        <f t="shared" si="1"/>
        <v>Determina nr. 88 del 22/03/2016</v>
      </c>
      <c r="E52" s="5" t="s">
        <v>141</v>
      </c>
      <c r="F52" s="8" t="s">
        <v>12</v>
      </c>
      <c r="G52" s="8" t="s">
        <v>30</v>
      </c>
      <c r="H52" s="9"/>
      <c r="I52" s="9"/>
      <c r="J52" s="9"/>
      <c r="K52" s="9"/>
      <c r="L52" s="9"/>
      <c r="M52" s="9"/>
      <c r="N52" s="9"/>
      <c r="O52" s="9"/>
      <c r="P52" s="9"/>
    </row>
    <row r="53" ht="30.0" customHeight="1">
      <c r="A53" s="4" t="s">
        <v>142</v>
      </c>
      <c r="B53" s="5" t="s">
        <v>143</v>
      </c>
      <c r="C53" s="6">
        <v>6800.0</v>
      </c>
      <c r="D53" s="7" t="str">
        <f t="shared" si="1"/>
        <v>Determina nr. 88 del 22/03/2016</v>
      </c>
      <c r="E53" s="5" t="s">
        <v>144</v>
      </c>
      <c r="F53" s="8" t="s">
        <v>12</v>
      </c>
      <c r="G53" s="8" t="s">
        <v>30</v>
      </c>
      <c r="H53" s="9"/>
      <c r="I53" s="9"/>
      <c r="J53" s="9"/>
      <c r="K53" s="9"/>
      <c r="L53" s="9"/>
      <c r="M53" s="9"/>
      <c r="N53" s="9"/>
      <c r="O53" s="9"/>
      <c r="P53" s="9"/>
    </row>
    <row r="54" ht="30.0" customHeight="1">
      <c r="A54" s="4" t="s">
        <v>17</v>
      </c>
      <c r="B54" s="5" t="s">
        <v>18</v>
      </c>
      <c r="C54" s="6">
        <v>3964.52</v>
      </c>
      <c r="D54" s="7" t="str">
        <f t="shared" si="1"/>
        <v>Determina nr. 88 del 22/03/2016</v>
      </c>
      <c r="E54" s="5" t="s">
        <v>145</v>
      </c>
      <c r="F54" s="8" t="s">
        <v>12</v>
      </c>
      <c r="G54" s="8" t="s">
        <v>30</v>
      </c>
      <c r="H54" s="9"/>
      <c r="I54" s="9"/>
      <c r="J54" s="9"/>
      <c r="K54" s="9"/>
      <c r="L54" s="9"/>
      <c r="M54" s="9"/>
      <c r="N54" s="9"/>
      <c r="O54" s="9"/>
      <c r="P54" s="9"/>
    </row>
    <row r="55" ht="30.0" customHeight="1">
      <c r="A55" s="4" t="s">
        <v>89</v>
      </c>
      <c r="B55" s="5" t="s">
        <v>90</v>
      </c>
      <c r="C55" s="6">
        <v>49837.63</v>
      </c>
      <c r="D55" s="7" t="str">
        <f t="shared" si="1"/>
        <v>Determina nr. 88 del 22/03/2016</v>
      </c>
      <c r="E55" s="5" t="s">
        <v>146</v>
      </c>
      <c r="F55" s="8" t="s">
        <v>12</v>
      </c>
      <c r="G55" s="8" t="s">
        <v>30</v>
      </c>
      <c r="H55" s="9"/>
      <c r="I55" s="9"/>
      <c r="J55" s="9"/>
      <c r="K55" s="9"/>
      <c r="L55" s="9"/>
      <c r="M55" s="9"/>
      <c r="N55" s="9"/>
      <c r="O55" s="9"/>
      <c r="P55" s="9"/>
    </row>
    <row r="56" ht="30.0" customHeight="1">
      <c r="A56" s="4" t="s">
        <v>14</v>
      </c>
      <c r="B56" s="5" t="s">
        <v>15</v>
      </c>
      <c r="C56" s="6">
        <v>19200.0</v>
      </c>
      <c r="D56" s="7" t="str">
        <f t="shared" si="1"/>
        <v>Determina nr. 88 del 22/03/2016</v>
      </c>
      <c r="E56" s="5" t="s">
        <v>147</v>
      </c>
      <c r="F56" s="8" t="s">
        <v>12</v>
      </c>
      <c r="G56" s="8" t="s">
        <v>30</v>
      </c>
      <c r="H56" s="9"/>
      <c r="I56" s="9"/>
      <c r="J56" s="9"/>
      <c r="K56" s="9"/>
      <c r="L56" s="9"/>
      <c r="M56" s="9"/>
      <c r="N56" s="9"/>
      <c r="O56" s="9"/>
      <c r="P56" s="9"/>
    </row>
    <row r="57" ht="30.0" customHeight="1">
      <c r="A57" s="4" t="s">
        <v>148</v>
      </c>
      <c r="B57" s="5" t="s">
        <v>149</v>
      </c>
      <c r="C57" s="6">
        <v>3270.97</v>
      </c>
      <c r="D57" s="7" t="str">
        <f t="shared" si="1"/>
        <v>Determina nr. 88 del 22/03/2016</v>
      </c>
      <c r="E57" s="5" t="s">
        <v>150</v>
      </c>
      <c r="F57" s="8" t="s">
        <v>12</v>
      </c>
      <c r="G57" s="8" t="s">
        <v>30</v>
      </c>
      <c r="H57" s="9"/>
      <c r="I57" s="9"/>
      <c r="J57" s="9"/>
      <c r="K57" s="9"/>
      <c r="L57" s="9"/>
      <c r="M57" s="9"/>
      <c r="N57" s="9"/>
      <c r="O57" s="9"/>
      <c r="P57" s="9"/>
    </row>
    <row r="58" ht="30.0" customHeight="1">
      <c r="A58" s="4" t="s">
        <v>151</v>
      </c>
      <c r="B58" s="5" t="s">
        <v>152</v>
      </c>
      <c r="C58" s="6">
        <v>8400.0</v>
      </c>
      <c r="D58" s="7" t="str">
        <f t="shared" si="1"/>
        <v>Determina nr. 88 del 22/03/2016</v>
      </c>
      <c r="E58" s="5" t="s">
        <v>153</v>
      </c>
      <c r="F58" s="8" t="s">
        <v>12</v>
      </c>
      <c r="G58" s="8" t="s">
        <v>30</v>
      </c>
      <c r="H58" s="9"/>
      <c r="I58" s="9"/>
      <c r="J58" s="9"/>
      <c r="K58" s="9"/>
      <c r="L58" s="9"/>
      <c r="M58" s="9"/>
      <c r="N58" s="9"/>
      <c r="O58" s="9"/>
      <c r="P58" s="9"/>
    </row>
    <row r="59" ht="30.0" customHeight="1">
      <c r="A59" s="4" t="s">
        <v>154</v>
      </c>
      <c r="B59" s="5" t="s">
        <v>155</v>
      </c>
      <c r="C59" s="6">
        <v>9859.19</v>
      </c>
      <c r="D59" s="7" t="str">
        <f t="shared" si="1"/>
        <v>Determina nr. 88 del 22/03/2016</v>
      </c>
      <c r="E59" s="5" t="s">
        <v>156</v>
      </c>
      <c r="F59" s="8" t="s">
        <v>12</v>
      </c>
      <c r="G59" s="8" t="s">
        <v>30</v>
      </c>
      <c r="H59" s="9"/>
      <c r="I59" s="9"/>
      <c r="J59" s="9"/>
      <c r="K59" s="9"/>
      <c r="L59" s="9"/>
      <c r="M59" s="9"/>
      <c r="N59" s="9"/>
      <c r="O59" s="9"/>
      <c r="P59" s="9"/>
    </row>
    <row r="60" ht="30.0" customHeight="1">
      <c r="A60" s="4" t="s">
        <v>59</v>
      </c>
      <c r="B60" s="5" t="s">
        <v>60</v>
      </c>
      <c r="C60" s="6">
        <v>96860.0</v>
      </c>
      <c r="D60" s="7" t="str">
        <f t="shared" si="1"/>
        <v>Determina nr. 88 del 22/03/2016</v>
      </c>
      <c r="E60" s="5" t="s">
        <v>157</v>
      </c>
      <c r="F60" s="8" t="s">
        <v>12</v>
      </c>
      <c r="G60" s="8" t="s">
        <v>30</v>
      </c>
      <c r="H60" s="9"/>
      <c r="I60" s="9"/>
      <c r="J60" s="9"/>
      <c r="K60" s="9"/>
      <c r="L60" s="9"/>
      <c r="M60" s="9"/>
      <c r="N60" s="9"/>
      <c r="O60" s="9"/>
      <c r="P60" s="9"/>
    </row>
    <row r="61" ht="30.0" customHeight="1">
      <c r="A61" s="4" t="s">
        <v>158</v>
      </c>
      <c r="B61" s="5" t="s">
        <v>159</v>
      </c>
      <c r="C61" s="6">
        <v>8258.06</v>
      </c>
      <c r="D61" s="7" t="str">
        <f t="shared" si="1"/>
        <v>Determina nr. 88 del 22/03/2016</v>
      </c>
      <c r="E61" s="5" t="s">
        <v>160</v>
      </c>
      <c r="F61" s="8" t="s">
        <v>12</v>
      </c>
      <c r="G61" s="8" t="s">
        <v>30</v>
      </c>
      <c r="H61" s="9"/>
      <c r="I61" s="9"/>
      <c r="J61" s="9"/>
      <c r="K61" s="9"/>
      <c r="L61" s="9"/>
      <c r="M61" s="9"/>
      <c r="N61" s="9"/>
      <c r="O61" s="9"/>
      <c r="P61" s="9"/>
    </row>
    <row r="62" ht="30.0" customHeight="1">
      <c r="A62" s="4" t="s">
        <v>161</v>
      </c>
      <c r="B62" s="5" t="s">
        <v>162</v>
      </c>
      <c r="C62" s="6">
        <v>13800.0</v>
      </c>
      <c r="D62" s="7" t="str">
        <f t="shared" si="1"/>
        <v>Determina nr. 88 del 22/03/2016</v>
      </c>
      <c r="E62" s="5" t="s">
        <v>163</v>
      </c>
      <c r="F62" s="8" t="s">
        <v>12</v>
      </c>
      <c r="G62" s="8" t="s">
        <v>30</v>
      </c>
      <c r="H62" s="9"/>
      <c r="I62" s="9"/>
      <c r="J62" s="9"/>
      <c r="K62" s="9"/>
      <c r="L62" s="9"/>
      <c r="M62" s="9"/>
      <c r="N62" s="9"/>
      <c r="O62" s="9"/>
      <c r="P62" s="9"/>
    </row>
    <row r="63" ht="30.0" customHeight="1">
      <c r="A63" s="4" t="s">
        <v>53</v>
      </c>
      <c r="B63" s="5" t="s">
        <v>54</v>
      </c>
      <c r="C63" s="6">
        <v>1200.0</v>
      </c>
      <c r="D63" s="7" t="str">
        <f t="shared" ref="D63:D75" si="2">HYPERLINK("http://www.usrc.it/AppRendiConta/det_89_20160322.pdf","Determina nr. 89 del 22/03/2016")</f>
        <v>Determina nr. 89 del 22/03/2016</v>
      </c>
      <c r="E63" s="5" t="s">
        <v>164</v>
      </c>
      <c r="F63" s="8" t="s">
        <v>12</v>
      </c>
      <c r="G63" s="8" t="s">
        <v>30</v>
      </c>
      <c r="H63" s="9"/>
      <c r="I63" s="9"/>
      <c r="J63" s="9"/>
      <c r="K63" s="9"/>
      <c r="L63" s="9"/>
      <c r="M63" s="9"/>
      <c r="N63" s="9"/>
      <c r="O63" s="9"/>
      <c r="P63" s="9"/>
    </row>
    <row r="64" ht="30.0" customHeight="1">
      <c r="A64" s="4" t="s">
        <v>165</v>
      </c>
      <c r="B64" s="5" t="s">
        <v>166</v>
      </c>
      <c r="C64" s="6">
        <v>31516.13</v>
      </c>
      <c r="D64" s="7" t="str">
        <f t="shared" si="2"/>
        <v>Determina nr. 89 del 22/03/2016</v>
      </c>
      <c r="E64" s="5" t="s">
        <v>167</v>
      </c>
      <c r="F64" s="8" t="s">
        <v>12</v>
      </c>
      <c r="G64" s="8" t="s">
        <v>30</v>
      </c>
      <c r="H64" s="9"/>
      <c r="I64" s="9"/>
      <c r="J64" s="9"/>
      <c r="K64" s="9"/>
      <c r="L64" s="9"/>
      <c r="M64" s="9"/>
      <c r="N64" s="9"/>
      <c r="O64" s="9"/>
      <c r="P64" s="9"/>
    </row>
    <row r="65" ht="30.0" customHeight="1">
      <c r="A65" s="4" t="s">
        <v>168</v>
      </c>
      <c r="B65" s="5" t="s">
        <v>169</v>
      </c>
      <c r="C65" s="6">
        <v>43200.0</v>
      </c>
      <c r="D65" s="7" t="str">
        <f t="shared" si="2"/>
        <v>Determina nr. 89 del 22/03/2016</v>
      </c>
      <c r="E65" s="5" t="s">
        <v>170</v>
      </c>
      <c r="F65" s="8" t="s">
        <v>12</v>
      </c>
      <c r="G65" s="8" t="s">
        <v>30</v>
      </c>
      <c r="H65" s="9"/>
      <c r="I65" s="9"/>
      <c r="J65" s="9"/>
      <c r="K65" s="9"/>
      <c r="L65" s="9"/>
      <c r="M65" s="9"/>
      <c r="N65" s="9"/>
      <c r="O65" s="9"/>
      <c r="P65" s="9"/>
    </row>
    <row r="66" ht="30.0" customHeight="1">
      <c r="A66" s="4" t="s">
        <v>171</v>
      </c>
      <c r="B66" s="5" t="s">
        <v>172</v>
      </c>
      <c r="C66" s="6">
        <v>9600.0</v>
      </c>
      <c r="D66" s="7" t="str">
        <f t="shared" si="2"/>
        <v>Determina nr. 89 del 22/03/2016</v>
      </c>
      <c r="E66" s="5" t="s">
        <v>173</v>
      </c>
      <c r="F66" s="8" t="s">
        <v>12</v>
      </c>
      <c r="G66" s="8" t="s">
        <v>30</v>
      </c>
      <c r="H66" s="9"/>
      <c r="I66" s="9"/>
      <c r="J66" s="9"/>
      <c r="K66" s="9"/>
      <c r="L66" s="9"/>
      <c r="M66" s="9"/>
      <c r="N66" s="9"/>
      <c r="O66" s="9"/>
      <c r="P66" s="9"/>
    </row>
    <row r="67" ht="30.0" customHeight="1">
      <c r="A67" s="4" t="s">
        <v>174</v>
      </c>
      <c r="B67" s="5" t="s">
        <v>175</v>
      </c>
      <c r="C67" s="6">
        <v>6800.0</v>
      </c>
      <c r="D67" s="7" t="str">
        <f t="shared" si="2"/>
        <v>Determina nr. 89 del 22/03/2016</v>
      </c>
      <c r="E67" s="5" t="s">
        <v>176</v>
      </c>
      <c r="F67" s="8" t="s">
        <v>12</v>
      </c>
      <c r="G67" s="8" t="s">
        <v>30</v>
      </c>
      <c r="H67" s="9"/>
      <c r="I67" s="9"/>
      <c r="J67" s="9"/>
      <c r="K67" s="9"/>
      <c r="L67" s="9"/>
      <c r="M67" s="9"/>
      <c r="N67" s="9"/>
      <c r="O67" s="9"/>
      <c r="P67" s="9"/>
    </row>
    <row r="68" ht="30.0" customHeight="1">
      <c r="A68" s="4" t="s">
        <v>177</v>
      </c>
      <c r="B68" s="5" t="s">
        <v>178</v>
      </c>
      <c r="C68" s="6">
        <v>135219.9</v>
      </c>
      <c r="D68" s="7" t="str">
        <f t="shared" si="2"/>
        <v>Determina nr. 89 del 22/03/2016</v>
      </c>
      <c r="E68" s="5" t="s">
        <v>179</v>
      </c>
      <c r="F68" s="8" t="s">
        <v>12</v>
      </c>
      <c r="G68" s="8" t="s">
        <v>30</v>
      </c>
      <c r="H68" s="9"/>
      <c r="I68" s="9"/>
      <c r="J68" s="9"/>
      <c r="K68" s="9"/>
      <c r="L68" s="9"/>
      <c r="M68" s="9"/>
      <c r="N68" s="9"/>
      <c r="O68" s="9"/>
      <c r="P68" s="9"/>
    </row>
    <row r="69" ht="30.0" customHeight="1">
      <c r="A69" s="4" t="s">
        <v>180</v>
      </c>
      <c r="B69" s="5" t="s">
        <v>181</v>
      </c>
      <c r="C69" s="6">
        <v>22354.84</v>
      </c>
      <c r="D69" s="7" t="str">
        <f t="shared" si="2"/>
        <v>Determina nr. 89 del 22/03/2016</v>
      </c>
      <c r="E69" s="5" t="s">
        <v>182</v>
      </c>
      <c r="F69" s="8" t="s">
        <v>12</v>
      </c>
      <c r="G69" s="8" t="s">
        <v>30</v>
      </c>
      <c r="H69" s="9"/>
      <c r="I69" s="9"/>
      <c r="J69" s="9"/>
      <c r="K69" s="9"/>
      <c r="L69" s="9"/>
      <c r="M69" s="9"/>
      <c r="N69" s="9"/>
      <c r="O69" s="9"/>
      <c r="P69" s="9"/>
    </row>
    <row r="70" ht="30.0" customHeight="1">
      <c r="A70" s="4" t="s">
        <v>183</v>
      </c>
      <c r="B70" s="5" t="s">
        <v>184</v>
      </c>
      <c r="C70" s="6">
        <v>8000.0</v>
      </c>
      <c r="D70" s="7" t="str">
        <f t="shared" si="2"/>
        <v>Determina nr. 89 del 22/03/2016</v>
      </c>
      <c r="E70" s="5" t="s">
        <v>185</v>
      </c>
      <c r="F70" s="8" t="s">
        <v>12</v>
      </c>
      <c r="G70" s="8" t="s">
        <v>30</v>
      </c>
      <c r="H70" s="9"/>
      <c r="I70" s="9"/>
      <c r="J70" s="9"/>
      <c r="K70" s="9"/>
      <c r="L70" s="9"/>
      <c r="M70" s="9"/>
      <c r="N70" s="9"/>
      <c r="O70" s="9"/>
      <c r="P70" s="9"/>
    </row>
    <row r="71" ht="30.0" customHeight="1">
      <c r="A71" s="4" t="s">
        <v>186</v>
      </c>
      <c r="B71" s="5" t="s">
        <v>187</v>
      </c>
      <c r="C71" s="6">
        <v>2200.0</v>
      </c>
      <c r="D71" s="7" t="str">
        <f t="shared" si="2"/>
        <v>Determina nr. 89 del 22/03/2016</v>
      </c>
      <c r="E71" s="5" t="s">
        <v>188</v>
      </c>
      <c r="F71" s="8" t="s">
        <v>12</v>
      </c>
      <c r="G71" s="8" t="s">
        <v>30</v>
      </c>
      <c r="H71" s="9"/>
      <c r="I71" s="9"/>
      <c r="J71" s="9"/>
      <c r="K71" s="9"/>
      <c r="L71" s="9"/>
      <c r="M71" s="9"/>
      <c r="N71" s="9"/>
      <c r="O71" s="9"/>
      <c r="P71" s="9"/>
    </row>
    <row r="72" ht="30.0" customHeight="1">
      <c r="A72" s="4" t="s">
        <v>189</v>
      </c>
      <c r="B72" s="5" t="s">
        <v>190</v>
      </c>
      <c r="C72" s="6">
        <v>40420.0</v>
      </c>
      <c r="D72" s="7" t="str">
        <f t="shared" si="2"/>
        <v>Determina nr. 89 del 22/03/2016</v>
      </c>
      <c r="E72" s="5" t="s">
        <v>191</v>
      </c>
      <c r="F72" s="8" t="s">
        <v>12</v>
      </c>
      <c r="G72" s="8" t="s">
        <v>30</v>
      </c>
      <c r="H72" s="9"/>
      <c r="I72" s="9"/>
      <c r="J72" s="9"/>
      <c r="K72" s="9"/>
      <c r="L72" s="9"/>
      <c r="M72" s="9"/>
      <c r="N72" s="9"/>
      <c r="O72" s="9"/>
      <c r="P72" s="9"/>
    </row>
    <row r="73" ht="30.0" customHeight="1">
      <c r="A73" s="4" t="s">
        <v>192</v>
      </c>
      <c r="B73" s="5" t="s">
        <v>193</v>
      </c>
      <c r="C73" s="6">
        <v>16800.0</v>
      </c>
      <c r="D73" s="7" t="str">
        <f t="shared" si="2"/>
        <v>Determina nr. 89 del 22/03/2016</v>
      </c>
      <c r="E73" s="5" t="s">
        <v>194</v>
      </c>
      <c r="F73" s="8" t="s">
        <v>12</v>
      </c>
      <c r="G73" s="8" t="s">
        <v>30</v>
      </c>
      <c r="H73" s="9"/>
      <c r="I73" s="9"/>
      <c r="J73" s="9"/>
      <c r="K73" s="9"/>
      <c r="L73" s="9"/>
      <c r="M73" s="9"/>
      <c r="N73" s="9"/>
      <c r="O73" s="9"/>
      <c r="P73" s="9"/>
    </row>
    <row r="74" ht="30.0" customHeight="1">
      <c r="A74" s="4" t="s">
        <v>195</v>
      </c>
      <c r="B74" s="5" t="s">
        <v>196</v>
      </c>
      <c r="C74" s="6">
        <v>4000.0</v>
      </c>
      <c r="D74" s="7" t="str">
        <f t="shared" si="2"/>
        <v>Determina nr. 89 del 22/03/2016</v>
      </c>
      <c r="E74" s="5" t="s">
        <v>185</v>
      </c>
      <c r="F74" s="8" t="s">
        <v>12</v>
      </c>
      <c r="G74" s="8" t="s">
        <v>30</v>
      </c>
      <c r="H74" s="9"/>
      <c r="I74" s="9"/>
      <c r="J74" s="9"/>
      <c r="K74" s="9"/>
      <c r="L74" s="9"/>
      <c r="M74" s="9"/>
      <c r="N74" s="9"/>
      <c r="O74" s="9"/>
      <c r="P74" s="9"/>
    </row>
    <row r="75" ht="30.0" customHeight="1">
      <c r="A75" s="4" t="s">
        <v>197</v>
      </c>
      <c r="B75" s="5" t="s">
        <v>198</v>
      </c>
      <c r="C75" s="6">
        <v>10500.0</v>
      </c>
      <c r="D75" s="7" t="str">
        <f t="shared" si="2"/>
        <v>Determina nr. 89 del 22/03/2016</v>
      </c>
      <c r="E75" s="5" t="s">
        <v>199</v>
      </c>
      <c r="F75" s="8" t="s">
        <v>12</v>
      </c>
      <c r="G75" s="8" t="s">
        <v>30</v>
      </c>
      <c r="H75" s="9"/>
      <c r="I75" s="9"/>
      <c r="J75" s="9"/>
      <c r="K75" s="9"/>
      <c r="L75" s="9"/>
      <c r="M75" s="9"/>
      <c r="N75" s="9"/>
      <c r="O75" s="9"/>
      <c r="P75" s="9"/>
    </row>
    <row r="76" ht="30.0" customHeight="1">
      <c r="A76" s="4" t="s">
        <v>126</v>
      </c>
      <c r="B76" s="5" t="s">
        <v>127</v>
      </c>
      <c r="C76" s="6">
        <v>4000.0</v>
      </c>
      <c r="D76" s="7" t="str">
        <f t="shared" ref="D76:D81" si="3">HYPERLINK("http://www.usrc.it/AppRendiConta/det_90_20160322.pdf","Determina nr. 90 del 22/03/2016")</f>
        <v>Determina nr. 90 del 22/03/2016</v>
      </c>
      <c r="E76" s="5" t="s">
        <v>200</v>
      </c>
      <c r="F76" s="8" t="s">
        <v>12</v>
      </c>
      <c r="G76" s="8" t="s">
        <v>201</v>
      </c>
      <c r="H76" s="9"/>
      <c r="I76" s="9"/>
      <c r="J76" s="9"/>
      <c r="K76" s="9"/>
      <c r="L76" s="9"/>
      <c r="M76" s="9"/>
      <c r="N76" s="9"/>
      <c r="O76" s="9"/>
      <c r="P76" s="9"/>
    </row>
    <row r="77" ht="30.0" customHeight="1">
      <c r="A77" s="4" t="s">
        <v>139</v>
      </c>
      <c r="B77" s="5" t="s">
        <v>140</v>
      </c>
      <c r="C77" s="6">
        <v>7200.0</v>
      </c>
      <c r="D77" s="7" t="str">
        <f t="shared" si="3"/>
        <v>Determina nr. 90 del 22/03/2016</v>
      </c>
      <c r="E77" s="5" t="s">
        <v>202</v>
      </c>
      <c r="F77" s="8" t="s">
        <v>12</v>
      </c>
      <c r="G77" s="8" t="s">
        <v>201</v>
      </c>
      <c r="H77" s="9"/>
      <c r="I77" s="9"/>
      <c r="J77" s="9"/>
      <c r="K77" s="9"/>
      <c r="L77" s="9"/>
      <c r="M77" s="9"/>
      <c r="N77" s="9"/>
      <c r="O77" s="9"/>
      <c r="P77" s="9"/>
    </row>
    <row r="78" ht="30.0" customHeight="1">
      <c r="A78" s="4" t="s">
        <v>123</v>
      </c>
      <c r="B78" s="5" t="s">
        <v>124</v>
      </c>
      <c r="C78" s="6">
        <v>21600.0</v>
      </c>
      <c r="D78" s="7" t="str">
        <f t="shared" si="3"/>
        <v>Determina nr. 90 del 22/03/2016</v>
      </c>
      <c r="E78" s="5" t="s">
        <v>203</v>
      </c>
      <c r="F78" s="8" t="s">
        <v>12</v>
      </c>
      <c r="G78" s="8" t="s">
        <v>201</v>
      </c>
      <c r="H78" s="9"/>
      <c r="I78" s="9"/>
      <c r="J78" s="9"/>
      <c r="K78" s="9"/>
      <c r="L78" s="9"/>
      <c r="M78" s="9"/>
      <c r="N78" s="9"/>
      <c r="O78" s="9"/>
      <c r="P78" s="9"/>
    </row>
    <row r="79" ht="30.0" customHeight="1">
      <c r="A79" s="4" t="s">
        <v>26</v>
      </c>
      <c r="B79" s="5" t="s">
        <v>27</v>
      </c>
      <c r="C79" s="6">
        <v>21600.0</v>
      </c>
      <c r="D79" s="7" t="str">
        <f t="shared" si="3"/>
        <v>Determina nr. 90 del 22/03/2016</v>
      </c>
      <c r="E79" s="5" t="s">
        <v>203</v>
      </c>
      <c r="F79" s="8" t="s">
        <v>12</v>
      </c>
      <c r="G79" s="8" t="s">
        <v>201</v>
      </c>
      <c r="H79" s="9"/>
      <c r="I79" s="9"/>
      <c r="J79" s="9"/>
      <c r="K79" s="9"/>
      <c r="L79" s="9"/>
      <c r="M79" s="9"/>
      <c r="N79" s="9"/>
      <c r="O79" s="9"/>
      <c r="P79" s="9"/>
    </row>
    <row r="80" ht="30.0" customHeight="1">
      <c r="A80" s="4" t="s">
        <v>89</v>
      </c>
      <c r="B80" s="5" t="s">
        <v>90</v>
      </c>
      <c r="C80" s="6">
        <v>9000.0</v>
      </c>
      <c r="D80" s="7" t="str">
        <f t="shared" si="3"/>
        <v>Determina nr. 90 del 22/03/2016</v>
      </c>
      <c r="E80" s="5" t="s">
        <v>204</v>
      </c>
      <c r="F80" s="8" t="s">
        <v>12</v>
      </c>
      <c r="G80" s="8" t="s">
        <v>201</v>
      </c>
      <c r="H80" s="9"/>
      <c r="I80" s="9"/>
      <c r="J80" s="9"/>
      <c r="K80" s="9"/>
      <c r="L80" s="9"/>
      <c r="M80" s="9"/>
      <c r="N80" s="9"/>
      <c r="O80" s="9"/>
      <c r="P80" s="9"/>
    </row>
    <row r="81" ht="30.0" customHeight="1">
      <c r="A81" s="4" t="s">
        <v>205</v>
      </c>
      <c r="B81" s="5" t="s">
        <v>206</v>
      </c>
      <c r="C81" s="6">
        <v>21600.0</v>
      </c>
      <c r="D81" s="7" t="str">
        <f t="shared" si="3"/>
        <v>Determina nr. 90 del 22/03/2016</v>
      </c>
      <c r="E81" s="5" t="s">
        <v>203</v>
      </c>
      <c r="F81" s="8" t="s">
        <v>12</v>
      </c>
      <c r="G81" s="8" t="s">
        <v>201</v>
      </c>
      <c r="H81" s="9"/>
      <c r="I81" s="9"/>
      <c r="J81" s="9"/>
      <c r="K81" s="9"/>
      <c r="L81" s="9"/>
      <c r="M81" s="9"/>
      <c r="N81" s="9"/>
      <c r="O81" s="9"/>
      <c r="P81" s="9"/>
    </row>
    <row r="82" ht="30.0" customHeight="1">
      <c r="A82" s="4" t="s">
        <v>135</v>
      </c>
      <c r="B82" s="5" t="s">
        <v>136</v>
      </c>
      <c r="C82" s="6">
        <v>10800.0</v>
      </c>
      <c r="D82" s="7" t="str">
        <f t="shared" ref="D82:D103" si="4">HYPERLINK("http://www.usrc.it/AppRendiConta/det_91_20160322.pdf","Determina nr. 91 del 22/03/2016")</f>
        <v>Determina nr. 91 del 22/03/2016</v>
      </c>
      <c r="E82" s="5" t="s">
        <v>207</v>
      </c>
      <c r="F82" s="8" t="s">
        <v>12</v>
      </c>
      <c r="G82" s="8" t="s">
        <v>201</v>
      </c>
      <c r="H82" s="9"/>
      <c r="I82" s="9"/>
      <c r="J82" s="9"/>
      <c r="K82" s="9"/>
      <c r="L82" s="9"/>
      <c r="M82" s="9"/>
      <c r="N82" s="9"/>
      <c r="O82" s="9"/>
      <c r="P82" s="9"/>
    </row>
    <row r="83" ht="30.0" customHeight="1">
      <c r="A83" s="4" t="s">
        <v>112</v>
      </c>
      <c r="B83" s="5" t="s">
        <v>113</v>
      </c>
      <c r="C83" s="6">
        <v>10493.64</v>
      </c>
      <c r="D83" s="7" t="str">
        <f t="shared" si="4"/>
        <v>Determina nr. 91 del 22/03/2016</v>
      </c>
      <c r="E83" s="5" t="s">
        <v>207</v>
      </c>
      <c r="F83" s="8" t="s">
        <v>12</v>
      </c>
      <c r="G83" s="8" t="s">
        <v>201</v>
      </c>
      <c r="H83" s="9"/>
      <c r="I83" s="9"/>
      <c r="J83" s="9"/>
      <c r="K83" s="9"/>
      <c r="L83" s="9"/>
      <c r="M83" s="9"/>
      <c r="N83" s="9"/>
      <c r="O83" s="9"/>
      <c r="P83" s="9"/>
    </row>
    <row r="84" ht="30.0" customHeight="1">
      <c r="A84" s="4" t="s">
        <v>126</v>
      </c>
      <c r="B84" s="5" t="s">
        <v>127</v>
      </c>
      <c r="C84" s="6">
        <v>21600.0</v>
      </c>
      <c r="D84" s="7" t="str">
        <f t="shared" si="4"/>
        <v>Determina nr. 91 del 22/03/2016</v>
      </c>
      <c r="E84" s="5" t="s">
        <v>208</v>
      </c>
      <c r="F84" s="8" t="s">
        <v>12</v>
      </c>
      <c r="G84" s="8" t="s">
        <v>201</v>
      </c>
      <c r="H84" s="9"/>
      <c r="I84" s="9"/>
      <c r="J84" s="9"/>
      <c r="K84" s="9"/>
      <c r="L84" s="9"/>
      <c r="M84" s="9"/>
      <c r="N84" s="9"/>
      <c r="O84" s="9"/>
      <c r="P84" s="9"/>
    </row>
    <row r="85" ht="30.0" customHeight="1">
      <c r="A85" s="4" t="s">
        <v>40</v>
      </c>
      <c r="B85" s="5" t="s">
        <v>41</v>
      </c>
      <c r="C85" s="6">
        <v>21600.0</v>
      </c>
      <c r="D85" s="7" t="str">
        <f t="shared" si="4"/>
        <v>Determina nr. 91 del 22/03/2016</v>
      </c>
      <c r="E85" s="5" t="s">
        <v>208</v>
      </c>
      <c r="F85" s="8" t="s">
        <v>12</v>
      </c>
      <c r="G85" s="8" t="s">
        <v>201</v>
      </c>
      <c r="H85" s="9"/>
      <c r="I85" s="9"/>
      <c r="J85" s="9"/>
      <c r="K85" s="9"/>
      <c r="L85" s="9"/>
      <c r="M85" s="9"/>
      <c r="N85" s="9"/>
      <c r="O85" s="9"/>
      <c r="P85" s="9"/>
    </row>
    <row r="86" ht="30.0" customHeight="1">
      <c r="A86" s="4" t="s">
        <v>209</v>
      </c>
      <c r="B86" s="5" t="s">
        <v>210</v>
      </c>
      <c r="C86" s="6">
        <v>10800.0</v>
      </c>
      <c r="D86" s="7" t="str">
        <f t="shared" si="4"/>
        <v>Determina nr. 91 del 22/03/2016</v>
      </c>
      <c r="E86" s="5" t="s">
        <v>207</v>
      </c>
      <c r="F86" s="8" t="s">
        <v>12</v>
      </c>
      <c r="G86" s="8" t="s">
        <v>201</v>
      </c>
      <c r="H86" s="9"/>
      <c r="I86" s="9"/>
      <c r="J86" s="9"/>
      <c r="K86" s="9"/>
      <c r="L86" s="9"/>
      <c r="M86" s="9"/>
      <c r="N86" s="9"/>
      <c r="O86" s="9"/>
      <c r="P86" s="9"/>
    </row>
    <row r="87" ht="30.0" customHeight="1">
      <c r="A87" s="4" t="s">
        <v>211</v>
      </c>
      <c r="B87" s="5" t="s">
        <v>212</v>
      </c>
      <c r="C87" s="6">
        <v>17010.6</v>
      </c>
      <c r="D87" s="7" t="str">
        <f t="shared" si="4"/>
        <v>Determina nr. 91 del 22/03/2016</v>
      </c>
      <c r="E87" s="5" t="s">
        <v>208</v>
      </c>
      <c r="F87" s="8" t="s">
        <v>12</v>
      </c>
      <c r="G87" s="8" t="s">
        <v>201</v>
      </c>
      <c r="H87" s="9"/>
      <c r="I87" s="9"/>
      <c r="J87" s="9"/>
      <c r="K87" s="9"/>
      <c r="L87" s="9"/>
      <c r="M87" s="9"/>
      <c r="N87" s="9"/>
      <c r="O87" s="9"/>
      <c r="P87" s="9"/>
    </row>
    <row r="88" ht="30.0" customHeight="1">
      <c r="A88" s="4" t="s">
        <v>213</v>
      </c>
      <c r="B88" s="5" t="s">
        <v>214</v>
      </c>
      <c r="C88" s="6">
        <v>12600.0</v>
      </c>
      <c r="D88" s="7" t="str">
        <f t="shared" si="4"/>
        <v>Determina nr. 91 del 22/03/2016</v>
      </c>
      <c r="E88" s="5" t="s">
        <v>215</v>
      </c>
      <c r="F88" s="8" t="s">
        <v>12</v>
      </c>
      <c r="G88" s="8" t="s">
        <v>201</v>
      </c>
      <c r="H88" s="9"/>
      <c r="I88" s="9"/>
      <c r="J88" s="9"/>
      <c r="K88" s="9"/>
      <c r="L88" s="9"/>
      <c r="M88" s="9"/>
      <c r="N88" s="9"/>
      <c r="O88" s="9"/>
      <c r="P88" s="9"/>
    </row>
    <row r="89" ht="30.0" customHeight="1">
      <c r="A89" s="4" t="s">
        <v>216</v>
      </c>
      <c r="B89" s="5" t="s">
        <v>217</v>
      </c>
      <c r="C89" s="6">
        <v>10800.0</v>
      </c>
      <c r="D89" s="7" t="str">
        <f t="shared" si="4"/>
        <v>Determina nr. 91 del 22/03/2016</v>
      </c>
      <c r="E89" s="5" t="s">
        <v>207</v>
      </c>
      <c r="F89" s="8" t="s">
        <v>12</v>
      </c>
      <c r="G89" s="8" t="s">
        <v>201</v>
      </c>
      <c r="H89" s="9"/>
      <c r="I89" s="9"/>
      <c r="J89" s="9"/>
      <c r="K89" s="9"/>
      <c r="L89" s="9"/>
      <c r="M89" s="9"/>
      <c r="N89" s="9"/>
      <c r="O89" s="9"/>
      <c r="P89" s="9"/>
    </row>
    <row r="90" ht="30.0" customHeight="1">
      <c r="A90" s="4" t="s">
        <v>218</v>
      </c>
      <c r="B90" s="5" t="s">
        <v>219</v>
      </c>
      <c r="C90" s="6">
        <v>1800.0</v>
      </c>
      <c r="D90" s="7" t="str">
        <f t="shared" si="4"/>
        <v>Determina nr. 91 del 22/03/2016</v>
      </c>
      <c r="E90" s="5" t="s">
        <v>220</v>
      </c>
      <c r="F90" s="8" t="s">
        <v>12</v>
      </c>
      <c r="G90" s="8" t="s">
        <v>201</v>
      </c>
      <c r="H90" s="9"/>
      <c r="I90" s="9"/>
      <c r="J90" s="9"/>
      <c r="K90" s="9"/>
      <c r="L90" s="9"/>
      <c r="M90" s="9"/>
      <c r="N90" s="9"/>
      <c r="O90" s="9"/>
      <c r="P90" s="9"/>
    </row>
    <row r="91" ht="30.0" customHeight="1">
      <c r="A91" s="4" t="s">
        <v>17</v>
      </c>
      <c r="B91" s="5" t="s">
        <v>18</v>
      </c>
      <c r="C91" s="6">
        <v>5400.0</v>
      </c>
      <c r="D91" s="7" t="str">
        <f t="shared" si="4"/>
        <v>Determina nr. 91 del 22/03/2016</v>
      </c>
      <c r="E91" s="5" t="s">
        <v>221</v>
      </c>
      <c r="F91" s="8" t="s">
        <v>12</v>
      </c>
      <c r="G91" s="8" t="s">
        <v>201</v>
      </c>
      <c r="H91" s="9"/>
      <c r="I91" s="9"/>
      <c r="J91" s="9"/>
      <c r="K91" s="9"/>
      <c r="L91" s="9"/>
      <c r="M91" s="9"/>
      <c r="N91" s="9"/>
      <c r="O91" s="9"/>
      <c r="P91" s="9"/>
    </row>
    <row r="92" ht="30.0" customHeight="1">
      <c r="A92" s="4" t="s">
        <v>222</v>
      </c>
      <c r="B92" s="5" t="s">
        <v>223</v>
      </c>
      <c r="C92" s="6">
        <v>7105.28</v>
      </c>
      <c r="D92" s="7" t="str">
        <f t="shared" si="4"/>
        <v>Determina nr. 91 del 22/03/2016</v>
      </c>
      <c r="E92" s="5" t="s">
        <v>224</v>
      </c>
      <c r="F92" s="8" t="s">
        <v>12</v>
      </c>
      <c r="G92" s="8" t="s">
        <v>201</v>
      </c>
      <c r="H92" s="9"/>
      <c r="I92" s="9"/>
      <c r="J92" s="9"/>
      <c r="K92" s="9"/>
      <c r="L92" s="9"/>
      <c r="M92" s="9"/>
      <c r="N92" s="9"/>
      <c r="O92" s="9"/>
      <c r="P92" s="9"/>
    </row>
    <row r="93" ht="30.0" customHeight="1">
      <c r="A93" s="4" t="s">
        <v>26</v>
      </c>
      <c r="B93" s="5" t="s">
        <v>27</v>
      </c>
      <c r="C93" s="6">
        <v>21600.0</v>
      </c>
      <c r="D93" s="7" t="str">
        <f t="shared" si="4"/>
        <v>Determina nr. 91 del 22/03/2016</v>
      </c>
      <c r="E93" s="5" t="s">
        <v>225</v>
      </c>
      <c r="F93" s="8" t="s">
        <v>12</v>
      </c>
      <c r="G93" s="8" t="s">
        <v>201</v>
      </c>
      <c r="H93" s="9"/>
      <c r="I93" s="9"/>
      <c r="J93" s="9"/>
      <c r="K93" s="9"/>
      <c r="L93" s="9"/>
      <c r="M93" s="9"/>
      <c r="N93" s="9"/>
      <c r="O93" s="9"/>
      <c r="P93" s="9"/>
    </row>
    <row r="94" ht="30.0" customHeight="1">
      <c r="A94" s="4" t="s">
        <v>226</v>
      </c>
      <c r="B94" s="5" t="s">
        <v>227</v>
      </c>
      <c r="C94" s="6">
        <v>10800.0</v>
      </c>
      <c r="D94" s="7" t="str">
        <f t="shared" si="4"/>
        <v>Determina nr. 91 del 22/03/2016</v>
      </c>
      <c r="E94" s="5" t="s">
        <v>207</v>
      </c>
      <c r="F94" s="8" t="s">
        <v>12</v>
      </c>
      <c r="G94" s="8" t="s">
        <v>201</v>
      </c>
      <c r="H94" s="9"/>
      <c r="I94" s="9"/>
      <c r="J94" s="9"/>
      <c r="K94" s="9"/>
      <c r="L94" s="9"/>
      <c r="M94" s="9"/>
      <c r="N94" s="9"/>
      <c r="O94" s="9"/>
      <c r="P94" s="9"/>
    </row>
    <row r="95" ht="30.0" customHeight="1">
      <c r="A95" s="4" t="s">
        <v>89</v>
      </c>
      <c r="B95" s="5" t="s">
        <v>90</v>
      </c>
      <c r="C95" s="6">
        <v>20250.0</v>
      </c>
      <c r="D95" s="7" t="str">
        <f t="shared" si="4"/>
        <v>Determina nr. 91 del 22/03/2016</v>
      </c>
      <c r="E95" s="5" t="s">
        <v>228</v>
      </c>
      <c r="F95" s="8" t="s">
        <v>12</v>
      </c>
      <c r="G95" s="8" t="s">
        <v>201</v>
      </c>
      <c r="H95" s="9"/>
      <c r="I95" s="9"/>
      <c r="J95" s="9"/>
      <c r="K95" s="9"/>
      <c r="L95" s="9"/>
      <c r="M95" s="9"/>
      <c r="N95" s="9"/>
      <c r="O95" s="9"/>
      <c r="P95" s="9"/>
    </row>
    <row r="96" ht="30.0" customHeight="1">
      <c r="A96" s="4" t="s">
        <v>14</v>
      </c>
      <c r="B96" s="5" t="s">
        <v>15</v>
      </c>
      <c r="C96" s="6">
        <v>10799.58</v>
      </c>
      <c r="D96" s="7" t="str">
        <f t="shared" si="4"/>
        <v>Determina nr. 91 del 22/03/2016</v>
      </c>
      <c r="E96" s="5" t="s">
        <v>207</v>
      </c>
      <c r="F96" s="8" t="s">
        <v>12</v>
      </c>
      <c r="G96" s="8" t="s">
        <v>201</v>
      </c>
      <c r="H96" s="9"/>
      <c r="I96" s="9"/>
      <c r="J96" s="9"/>
      <c r="K96" s="9"/>
      <c r="L96" s="9"/>
      <c r="M96" s="9"/>
      <c r="N96" s="9"/>
      <c r="O96" s="9"/>
      <c r="P96" s="9"/>
    </row>
    <row r="97" ht="30.0" customHeight="1">
      <c r="A97" s="4" t="s">
        <v>154</v>
      </c>
      <c r="B97" s="5" t="s">
        <v>155</v>
      </c>
      <c r="C97" s="6">
        <v>3600.0</v>
      </c>
      <c r="D97" s="7" t="str">
        <f t="shared" si="4"/>
        <v>Determina nr. 91 del 22/03/2016</v>
      </c>
      <c r="E97" s="5" t="s">
        <v>229</v>
      </c>
      <c r="F97" s="8" t="s">
        <v>12</v>
      </c>
      <c r="G97" s="8" t="s">
        <v>201</v>
      </c>
      <c r="H97" s="9"/>
      <c r="I97" s="9"/>
      <c r="J97" s="9"/>
      <c r="K97" s="9"/>
      <c r="L97" s="9"/>
      <c r="M97" s="9"/>
      <c r="N97" s="9"/>
      <c r="O97" s="9"/>
      <c r="P97" s="9"/>
    </row>
    <row r="98" ht="30.0" customHeight="1">
      <c r="A98" s="4" t="s">
        <v>119</v>
      </c>
      <c r="B98" s="5" t="s">
        <v>120</v>
      </c>
      <c r="C98" s="6">
        <v>12600.0</v>
      </c>
      <c r="D98" s="7" t="str">
        <f t="shared" si="4"/>
        <v>Determina nr. 91 del 22/03/2016</v>
      </c>
      <c r="E98" s="5" t="s">
        <v>215</v>
      </c>
      <c r="F98" s="8" t="s">
        <v>12</v>
      </c>
      <c r="G98" s="8" t="s">
        <v>201</v>
      </c>
      <c r="H98" s="9"/>
      <c r="I98" s="9"/>
      <c r="J98" s="9"/>
      <c r="K98" s="9"/>
      <c r="L98" s="9"/>
      <c r="M98" s="9"/>
      <c r="N98" s="9"/>
      <c r="O98" s="9"/>
      <c r="P98" s="9"/>
    </row>
    <row r="99" ht="30.0" customHeight="1">
      <c r="A99" s="4" t="s">
        <v>205</v>
      </c>
      <c r="B99" s="5" t="s">
        <v>206</v>
      </c>
      <c r="C99" s="6">
        <v>21600.0</v>
      </c>
      <c r="D99" s="7" t="str">
        <f t="shared" si="4"/>
        <v>Determina nr. 91 del 22/03/2016</v>
      </c>
      <c r="E99" s="5" t="s">
        <v>208</v>
      </c>
      <c r="F99" s="8" t="s">
        <v>12</v>
      </c>
      <c r="G99" s="8" t="s">
        <v>201</v>
      </c>
      <c r="H99" s="9"/>
      <c r="I99" s="9"/>
      <c r="J99" s="9"/>
      <c r="K99" s="9"/>
      <c r="L99" s="9"/>
      <c r="M99" s="9"/>
      <c r="N99" s="9"/>
      <c r="O99" s="9"/>
      <c r="P99" s="9"/>
    </row>
    <row r="100" ht="30.0" customHeight="1">
      <c r="A100" s="4" t="s">
        <v>107</v>
      </c>
      <c r="B100" s="5" t="s">
        <v>108</v>
      </c>
      <c r="C100" s="6">
        <v>10800.0</v>
      </c>
      <c r="D100" s="7" t="str">
        <f t="shared" si="4"/>
        <v>Determina nr. 91 del 22/03/2016</v>
      </c>
      <c r="E100" s="5" t="s">
        <v>207</v>
      </c>
      <c r="F100" s="8" t="s">
        <v>12</v>
      </c>
      <c r="G100" s="8" t="s">
        <v>201</v>
      </c>
      <c r="H100" s="9"/>
      <c r="I100" s="9"/>
      <c r="J100" s="9"/>
      <c r="K100" s="9"/>
      <c r="L100" s="9"/>
      <c r="M100" s="9"/>
      <c r="N100" s="9"/>
      <c r="O100" s="9"/>
      <c r="P100" s="9"/>
    </row>
    <row r="101" ht="30.0" customHeight="1">
      <c r="A101" s="4" t="s">
        <v>230</v>
      </c>
      <c r="B101" s="5" t="s">
        <v>231</v>
      </c>
      <c r="C101" s="6">
        <v>10800.0</v>
      </c>
      <c r="D101" s="7" t="str">
        <f t="shared" si="4"/>
        <v>Determina nr. 91 del 22/03/2016</v>
      </c>
      <c r="E101" s="5" t="s">
        <v>207</v>
      </c>
      <c r="F101" s="8" t="s">
        <v>12</v>
      </c>
      <c r="G101" s="8" t="s">
        <v>201</v>
      </c>
      <c r="H101" s="9"/>
      <c r="I101" s="9"/>
      <c r="J101" s="9"/>
      <c r="K101" s="9"/>
      <c r="L101" s="9"/>
      <c r="M101" s="9"/>
      <c r="N101" s="9"/>
      <c r="O101" s="9"/>
      <c r="P101" s="9"/>
    </row>
    <row r="102" ht="30.0" customHeight="1">
      <c r="A102" s="4" t="s">
        <v>158</v>
      </c>
      <c r="B102" s="5" t="s">
        <v>159</v>
      </c>
      <c r="C102" s="6">
        <v>10056.0</v>
      </c>
      <c r="D102" s="7" t="str">
        <f t="shared" si="4"/>
        <v>Determina nr. 91 del 22/03/2016</v>
      </c>
      <c r="E102" s="5" t="s">
        <v>232</v>
      </c>
      <c r="F102" s="8" t="s">
        <v>12</v>
      </c>
      <c r="G102" s="8" t="s">
        <v>201</v>
      </c>
      <c r="H102" s="9"/>
      <c r="I102" s="9"/>
      <c r="J102" s="9"/>
      <c r="K102" s="9"/>
      <c r="L102" s="9"/>
      <c r="M102" s="9"/>
      <c r="N102" s="9"/>
      <c r="O102" s="9"/>
      <c r="P102" s="9"/>
    </row>
    <row r="103" ht="30.0" customHeight="1">
      <c r="A103" s="4" t="s">
        <v>161</v>
      </c>
      <c r="B103" s="5" t="s">
        <v>162</v>
      </c>
      <c r="C103" s="6">
        <v>10800.0</v>
      </c>
      <c r="D103" s="7" t="str">
        <f t="shared" si="4"/>
        <v>Determina nr. 91 del 22/03/2016</v>
      </c>
      <c r="E103" s="5" t="s">
        <v>207</v>
      </c>
      <c r="F103" s="8" t="s">
        <v>12</v>
      </c>
      <c r="G103" s="8" t="s">
        <v>201</v>
      </c>
      <c r="H103" s="9"/>
      <c r="I103" s="9"/>
      <c r="J103" s="9"/>
      <c r="K103" s="9"/>
      <c r="L103" s="9"/>
      <c r="M103" s="9"/>
      <c r="N103" s="9"/>
      <c r="O103" s="9"/>
      <c r="P103" s="9"/>
    </row>
    <row r="104" ht="30.0" customHeight="1">
      <c r="A104" s="4" t="s">
        <v>89</v>
      </c>
      <c r="B104" s="5" t="s">
        <v>90</v>
      </c>
      <c r="C104" s="6">
        <v>13200.0</v>
      </c>
      <c r="D104" s="7" t="str">
        <f t="shared" ref="D104:D106" si="5">HYPERLINK("http://www.usrc.it/AppRendiConta/det_92_20160322.pdf","Determina nr. 92 del 22/03/2016")</f>
        <v>Determina nr. 92 del 22/03/2016</v>
      </c>
      <c r="E104" s="5" t="s">
        <v>233</v>
      </c>
      <c r="F104" s="8" t="s">
        <v>12</v>
      </c>
      <c r="G104" s="8" t="s">
        <v>30</v>
      </c>
      <c r="H104" s="9"/>
      <c r="I104" s="9"/>
      <c r="J104" s="9"/>
      <c r="K104" s="9"/>
      <c r="L104" s="9"/>
      <c r="M104" s="9"/>
      <c r="N104" s="9"/>
      <c r="O104" s="9"/>
      <c r="P104" s="9"/>
    </row>
    <row r="105" ht="30.0" customHeight="1">
      <c r="A105" s="4" t="s">
        <v>154</v>
      </c>
      <c r="B105" s="5" t="s">
        <v>155</v>
      </c>
      <c r="C105" s="6">
        <v>5950.0</v>
      </c>
      <c r="D105" s="7" t="str">
        <f t="shared" si="5"/>
        <v>Determina nr. 92 del 22/03/2016</v>
      </c>
      <c r="E105" s="5" t="s">
        <v>234</v>
      </c>
      <c r="F105" s="8" t="s">
        <v>12</v>
      </c>
      <c r="G105" s="8" t="s">
        <v>30</v>
      </c>
      <c r="H105" s="9"/>
      <c r="I105" s="9"/>
      <c r="J105" s="9"/>
      <c r="K105" s="9"/>
      <c r="L105" s="9"/>
      <c r="M105" s="9"/>
      <c r="N105" s="9"/>
      <c r="O105" s="9"/>
      <c r="P105" s="9"/>
    </row>
    <row r="106" ht="30.0" customHeight="1">
      <c r="A106" s="4" t="s">
        <v>235</v>
      </c>
      <c r="B106" s="5" t="s">
        <v>236</v>
      </c>
      <c r="C106" s="6">
        <v>700.0</v>
      </c>
      <c r="D106" s="7" t="str">
        <f t="shared" si="5"/>
        <v>Determina nr. 92 del 22/03/2016</v>
      </c>
      <c r="E106" s="5" t="s">
        <v>237</v>
      </c>
      <c r="F106" s="8" t="s">
        <v>12</v>
      </c>
      <c r="G106" s="8" t="s">
        <v>30</v>
      </c>
      <c r="H106" s="9"/>
      <c r="I106" s="9"/>
      <c r="J106" s="9"/>
      <c r="K106" s="9"/>
      <c r="L106" s="9"/>
      <c r="M106" s="9"/>
      <c r="N106" s="9"/>
      <c r="O106" s="9"/>
      <c r="P106" s="9"/>
    </row>
    <row r="107" ht="30.0" customHeight="1">
      <c r="A107" s="4" t="s">
        <v>180</v>
      </c>
      <c r="B107" s="5" t="s">
        <v>181</v>
      </c>
      <c r="C107" s="6">
        <v>532.0</v>
      </c>
      <c r="D107" s="7" t="str">
        <f t="shared" ref="D107:D108" si="6">HYPERLINK("http://www.usrc.it/AppRendiConta/det_93_20160322.pdf","Determina nr. 93 del 22/03/2016")</f>
        <v>Determina nr. 93 del 22/03/2016</v>
      </c>
      <c r="E107" s="5" t="s">
        <v>238</v>
      </c>
      <c r="F107" s="8" t="s">
        <v>12</v>
      </c>
      <c r="G107" s="8" t="s">
        <v>30</v>
      </c>
      <c r="H107" s="9"/>
      <c r="I107" s="9"/>
      <c r="J107" s="9"/>
      <c r="K107" s="9"/>
      <c r="L107" s="9"/>
      <c r="M107" s="9"/>
      <c r="N107" s="9"/>
      <c r="O107" s="9"/>
      <c r="P107" s="9"/>
    </row>
    <row r="108" ht="30.0" customHeight="1">
      <c r="A108" s="4" t="s">
        <v>189</v>
      </c>
      <c r="B108" s="5" t="s">
        <v>190</v>
      </c>
      <c r="C108" s="6">
        <v>9450.0</v>
      </c>
      <c r="D108" s="7" t="str">
        <f t="shared" si="6"/>
        <v>Determina nr. 93 del 22/03/2016</v>
      </c>
      <c r="E108" s="5" t="s">
        <v>239</v>
      </c>
      <c r="F108" s="8" t="s">
        <v>12</v>
      </c>
      <c r="G108" s="8" t="s">
        <v>30</v>
      </c>
      <c r="H108" s="9"/>
      <c r="I108" s="9"/>
      <c r="J108" s="9"/>
      <c r="K108" s="9"/>
      <c r="L108" s="9"/>
      <c r="M108" s="9"/>
      <c r="N108" s="9"/>
      <c r="O108" s="9"/>
      <c r="P108" s="9"/>
    </row>
    <row r="109" ht="30.0" customHeight="1">
      <c r="A109" s="4" t="s">
        <v>135</v>
      </c>
      <c r="B109" s="5" t="s">
        <v>136</v>
      </c>
      <c r="C109" s="6">
        <v>2000.0</v>
      </c>
      <c r="D109" s="7" t="str">
        <f t="shared" ref="D109:D117" si="7">HYPERLINK("http://www.usrc.it/AppRendiConta/det_94_20160322.pdf","Determina nr. 94 del 22/03/2016")</f>
        <v>Determina nr. 94 del 22/03/2016</v>
      </c>
      <c r="E109" s="5" t="s">
        <v>240</v>
      </c>
      <c r="F109" s="8" t="s">
        <v>12</v>
      </c>
      <c r="G109" s="8" t="s">
        <v>30</v>
      </c>
      <c r="H109" s="9"/>
      <c r="I109" s="9"/>
      <c r="J109" s="9"/>
      <c r="K109" s="9"/>
      <c r="L109" s="9"/>
      <c r="M109" s="9"/>
      <c r="N109" s="9"/>
      <c r="O109" s="9"/>
      <c r="P109" s="9"/>
    </row>
    <row r="110" ht="30.0" customHeight="1">
      <c r="A110" s="4" t="s">
        <v>241</v>
      </c>
      <c r="B110" s="5" t="s">
        <v>242</v>
      </c>
      <c r="C110" s="6">
        <v>6103.6</v>
      </c>
      <c r="D110" s="7" t="str">
        <f t="shared" si="7"/>
        <v>Determina nr. 94 del 22/03/2016</v>
      </c>
      <c r="E110" s="5" t="s">
        <v>243</v>
      </c>
      <c r="F110" s="8" t="s">
        <v>12</v>
      </c>
      <c r="G110" s="8" t="s">
        <v>30</v>
      </c>
      <c r="H110" s="9"/>
      <c r="I110" s="9"/>
      <c r="J110" s="9"/>
      <c r="K110" s="9"/>
      <c r="L110" s="9"/>
      <c r="M110" s="9"/>
      <c r="N110" s="9"/>
      <c r="O110" s="9"/>
      <c r="P110" s="9"/>
    </row>
    <row r="111" ht="30.0" customHeight="1">
      <c r="A111" s="4" t="s">
        <v>139</v>
      </c>
      <c r="B111" s="5" t="s">
        <v>140</v>
      </c>
      <c r="C111" s="6">
        <v>21994.2</v>
      </c>
      <c r="D111" s="7" t="str">
        <f t="shared" si="7"/>
        <v>Determina nr. 94 del 22/03/2016</v>
      </c>
      <c r="E111" s="5" t="s">
        <v>244</v>
      </c>
      <c r="F111" s="8" t="s">
        <v>12</v>
      </c>
      <c r="G111" s="8" t="s">
        <v>30</v>
      </c>
      <c r="H111" s="9"/>
      <c r="I111" s="9"/>
      <c r="J111" s="9"/>
      <c r="K111" s="9"/>
      <c r="L111" s="9"/>
      <c r="M111" s="9"/>
      <c r="N111" s="9"/>
      <c r="O111" s="9"/>
      <c r="P111" s="9"/>
    </row>
    <row r="112" ht="30.0" customHeight="1">
      <c r="A112" s="4" t="s">
        <v>142</v>
      </c>
      <c r="B112" s="5" t="s">
        <v>143</v>
      </c>
      <c r="C112" s="6">
        <v>1800.0</v>
      </c>
      <c r="D112" s="7" t="str">
        <f t="shared" si="7"/>
        <v>Determina nr. 94 del 22/03/2016</v>
      </c>
      <c r="E112" s="5" t="s">
        <v>245</v>
      </c>
      <c r="F112" s="8" t="s">
        <v>12</v>
      </c>
      <c r="G112" s="8" t="s">
        <v>30</v>
      </c>
      <c r="H112" s="9"/>
      <c r="I112" s="9"/>
      <c r="J112" s="9"/>
      <c r="K112" s="9"/>
      <c r="L112" s="9"/>
      <c r="M112" s="9"/>
      <c r="N112" s="9"/>
      <c r="O112" s="9"/>
      <c r="P112" s="9"/>
    </row>
    <row r="113" ht="30.0" customHeight="1">
      <c r="A113" s="4" t="s">
        <v>226</v>
      </c>
      <c r="B113" s="5" t="s">
        <v>227</v>
      </c>
      <c r="C113" s="6">
        <v>5849.2</v>
      </c>
      <c r="D113" s="7" t="str">
        <f t="shared" si="7"/>
        <v>Determina nr. 94 del 22/03/2016</v>
      </c>
      <c r="E113" s="5" t="s">
        <v>246</v>
      </c>
      <c r="F113" s="8" t="s">
        <v>12</v>
      </c>
      <c r="G113" s="8" t="s">
        <v>30</v>
      </c>
      <c r="H113" s="9"/>
      <c r="I113" s="9"/>
      <c r="J113" s="9"/>
      <c r="K113" s="9"/>
      <c r="L113" s="9"/>
      <c r="M113" s="9"/>
      <c r="N113" s="9"/>
      <c r="O113" s="9"/>
      <c r="P113" s="9"/>
    </row>
    <row r="114" ht="30.0" customHeight="1">
      <c r="A114" s="4" t="s">
        <v>119</v>
      </c>
      <c r="B114" s="5" t="s">
        <v>120</v>
      </c>
      <c r="C114" s="6">
        <v>4062.06</v>
      </c>
      <c r="D114" s="7" t="str">
        <f t="shared" si="7"/>
        <v>Determina nr. 94 del 22/03/2016</v>
      </c>
      <c r="E114" s="5" t="s">
        <v>247</v>
      </c>
      <c r="F114" s="8" t="s">
        <v>12</v>
      </c>
      <c r="G114" s="8" t="s">
        <v>30</v>
      </c>
      <c r="H114" s="9"/>
      <c r="I114" s="9"/>
      <c r="J114" s="9"/>
      <c r="K114" s="9"/>
      <c r="L114" s="9"/>
      <c r="M114" s="9"/>
      <c r="N114" s="9"/>
      <c r="O114" s="9"/>
      <c r="P114" s="9"/>
    </row>
    <row r="115" ht="30.0" customHeight="1">
      <c r="A115" s="4" t="s">
        <v>115</v>
      </c>
      <c r="B115" s="5" t="s">
        <v>116</v>
      </c>
      <c r="C115" s="6">
        <v>4738.0</v>
      </c>
      <c r="D115" s="7" t="str">
        <f t="shared" si="7"/>
        <v>Determina nr. 94 del 22/03/2016</v>
      </c>
      <c r="E115" s="5" t="s">
        <v>248</v>
      </c>
      <c r="F115" s="8" t="s">
        <v>12</v>
      </c>
      <c r="G115" s="8" t="s">
        <v>30</v>
      </c>
      <c r="H115" s="9"/>
      <c r="I115" s="9"/>
      <c r="J115" s="9"/>
      <c r="K115" s="9"/>
      <c r="L115" s="9"/>
      <c r="M115" s="9"/>
      <c r="N115" s="9"/>
      <c r="O115" s="9"/>
      <c r="P115" s="9"/>
    </row>
    <row r="116" ht="30.0" customHeight="1">
      <c r="A116" s="4" t="s">
        <v>34</v>
      </c>
      <c r="B116" s="8" t="s">
        <v>35</v>
      </c>
      <c r="C116" s="6">
        <v>1464.0</v>
      </c>
      <c r="D116" s="7" t="str">
        <f t="shared" si="7"/>
        <v>Determina nr. 94 del 22/03/2016</v>
      </c>
      <c r="E116" s="5" t="s">
        <v>240</v>
      </c>
      <c r="F116" s="8" t="s">
        <v>12</v>
      </c>
      <c r="G116" s="8" t="s">
        <v>30</v>
      </c>
      <c r="H116" s="9"/>
      <c r="I116" s="9"/>
      <c r="J116" s="9"/>
      <c r="K116" s="9"/>
      <c r="L116" s="9"/>
      <c r="M116" s="9"/>
      <c r="N116" s="9"/>
      <c r="O116" s="9"/>
      <c r="P116" s="9"/>
    </row>
    <row r="117" ht="30.0" customHeight="1">
      <c r="A117" s="4" t="s">
        <v>230</v>
      </c>
      <c r="B117" s="5" t="s">
        <v>231</v>
      </c>
      <c r="C117" s="6">
        <v>585.6</v>
      </c>
      <c r="D117" s="7" t="str">
        <f t="shared" si="7"/>
        <v>Determina nr. 94 del 22/03/2016</v>
      </c>
      <c r="E117" s="5" t="s">
        <v>249</v>
      </c>
      <c r="F117" s="8" t="s">
        <v>12</v>
      </c>
      <c r="G117" s="8" t="s">
        <v>30</v>
      </c>
      <c r="H117" s="9"/>
      <c r="I117" s="9"/>
      <c r="J117" s="9"/>
      <c r="K117" s="9"/>
      <c r="L117" s="9"/>
      <c r="M117" s="9"/>
      <c r="N117" s="9"/>
      <c r="O117" s="9"/>
      <c r="P117" s="9"/>
    </row>
    <row r="118" ht="30.0" customHeight="1">
      <c r="A118" s="4" t="s">
        <v>189</v>
      </c>
      <c r="B118" s="5" t="s">
        <v>190</v>
      </c>
      <c r="C118" s="6">
        <v>4446.9</v>
      </c>
      <c r="D118" s="7" t="str">
        <f>HYPERLINK("http://www.usrc.it/AppRendiConta/det_95_20160322.pdf","Determina nr. 95 del 22/03/2016")</f>
        <v>Determina nr. 95 del 22/03/2016</v>
      </c>
      <c r="E118" s="5" t="s">
        <v>250</v>
      </c>
      <c r="F118" s="8" t="s">
        <v>12</v>
      </c>
      <c r="G118" s="8" t="s">
        <v>30</v>
      </c>
      <c r="H118" s="9"/>
      <c r="I118" s="9"/>
      <c r="J118" s="9"/>
      <c r="K118" s="9"/>
      <c r="L118" s="9"/>
      <c r="M118" s="9"/>
      <c r="N118" s="9"/>
      <c r="O118" s="9"/>
      <c r="P118" s="9"/>
    </row>
    <row r="119" ht="30.0" customHeight="1">
      <c r="A119" s="4" t="s">
        <v>209</v>
      </c>
      <c r="B119" s="5" t="s">
        <v>210</v>
      </c>
      <c r="C119" s="6">
        <v>20424.19</v>
      </c>
      <c r="D119" s="7" t="str">
        <f t="shared" ref="D119:D121" si="8">HYPERLINK("http://www.usrc.it/AppRendiConta/det_96_20160322.pdf","Determina nr. 96 del 22/03/2016")</f>
        <v>Determina nr. 96 del 22/03/2016</v>
      </c>
      <c r="E119" s="5" t="s">
        <v>251</v>
      </c>
      <c r="F119" s="8" t="s">
        <v>12</v>
      </c>
      <c r="G119" s="8" t="s">
        <v>30</v>
      </c>
      <c r="H119" s="9"/>
      <c r="I119" s="9"/>
      <c r="J119" s="9"/>
      <c r="K119" s="9"/>
      <c r="L119" s="9"/>
      <c r="M119" s="9"/>
      <c r="N119" s="9"/>
      <c r="O119" s="9"/>
      <c r="P119" s="9"/>
    </row>
    <row r="120" ht="30.0" customHeight="1">
      <c r="A120" s="4" t="s">
        <v>17</v>
      </c>
      <c r="B120" s="5" t="s">
        <v>18</v>
      </c>
      <c r="C120" s="6">
        <v>55799.99</v>
      </c>
      <c r="D120" s="7" t="str">
        <f t="shared" si="8"/>
        <v>Determina nr. 96 del 22/03/2016</v>
      </c>
      <c r="E120" s="5" t="s">
        <v>252</v>
      </c>
      <c r="F120" s="8" t="s">
        <v>12</v>
      </c>
      <c r="G120" s="8" t="s">
        <v>30</v>
      </c>
      <c r="H120" s="9"/>
      <c r="I120" s="9"/>
      <c r="J120" s="9"/>
      <c r="K120" s="9"/>
      <c r="L120" s="9"/>
      <c r="M120" s="9"/>
      <c r="N120" s="9"/>
      <c r="O120" s="9"/>
      <c r="P120" s="9"/>
    </row>
    <row r="121" ht="30.0" customHeight="1">
      <c r="A121" s="4" t="s">
        <v>89</v>
      </c>
      <c r="B121" s="5" t="s">
        <v>90</v>
      </c>
      <c r="C121" s="6">
        <v>54000.0</v>
      </c>
      <c r="D121" s="7" t="str">
        <f t="shared" si="8"/>
        <v>Determina nr. 96 del 22/03/2016</v>
      </c>
      <c r="E121" s="5" t="s">
        <v>251</v>
      </c>
      <c r="F121" s="8" t="s">
        <v>12</v>
      </c>
      <c r="G121" s="8" t="s">
        <v>30</v>
      </c>
      <c r="H121" s="9"/>
      <c r="I121" s="9"/>
      <c r="J121" s="9"/>
      <c r="K121" s="9"/>
      <c r="L121" s="9"/>
      <c r="M121" s="9"/>
      <c r="N121" s="9"/>
      <c r="O121" s="9"/>
      <c r="P121" s="9"/>
    </row>
    <row r="122" ht="30.0" customHeight="1">
      <c r="A122" s="4" t="s">
        <v>218</v>
      </c>
      <c r="B122" s="5" t="s">
        <v>219</v>
      </c>
      <c r="C122" s="6">
        <v>35053.2</v>
      </c>
      <c r="D122" s="7" t="str">
        <f>HYPERLINK("http://www.usrc.it/AppRendiConta/det_97_20160322.pdf","Determina nr. 97 del 22/03/2016")</f>
        <v>Determina nr. 97 del 22/03/2016</v>
      </c>
      <c r="E122" s="5" t="s">
        <v>253</v>
      </c>
      <c r="F122" s="8" t="s">
        <v>12</v>
      </c>
      <c r="G122" s="8" t="s">
        <v>52</v>
      </c>
      <c r="H122" s="9"/>
      <c r="I122" s="9"/>
      <c r="J122" s="9"/>
      <c r="K122" s="9"/>
      <c r="L122" s="9"/>
      <c r="M122" s="9"/>
      <c r="N122" s="9"/>
      <c r="O122" s="9"/>
      <c r="P122" s="9"/>
    </row>
    <row r="123" ht="30.0" customHeight="1">
      <c r="A123" s="4" t="s">
        <v>31</v>
      </c>
      <c r="B123" s="5" t="s">
        <v>32</v>
      </c>
      <c r="C123" s="6">
        <v>82667.52</v>
      </c>
      <c r="D123" s="7" t="str">
        <f>HYPERLINK("http://www.usrc.it/AppRendiConta/det_98_20160322.pdf","Determina nr. 98 del 22/03/2016")</f>
        <v>Determina nr. 98 del 22/03/2016</v>
      </c>
      <c r="E123" s="5" t="s">
        <v>42</v>
      </c>
      <c r="F123" s="8" t="s">
        <v>12</v>
      </c>
      <c r="G123" s="8" t="s">
        <v>13</v>
      </c>
      <c r="H123" s="9"/>
      <c r="I123" s="9"/>
      <c r="J123" s="9"/>
      <c r="K123" s="9"/>
      <c r="L123" s="9"/>
      <c r="M123" s="9"/>
      <c r="N123" s="9"/>
      <c r="O123" s="9"/>
      <c r="P123" s="9"/>
    </row>
    <row r="124" ht="30.0" customHeight="1">
      <c r="A124" s="4" t="s">
        <v>107</v>
      </c>
      <c r="B124" s="5" t="s">
        <v>108</v>
      </c>
      <c r="C124" s="6">
        <v>164527.83</v>
      </c>
      <c r="D124" s="7" t="str">
        <f>HYPERLINK("http://www.usrc.it/AppRendiConta/det_102_20160323.pdf","Determina nr. 102 del 23/03/2016")</f>
        <v>Determina nr. 102 del 23/03/2016</v>
      </c>
      <c r="E124" s="5" t="s">
        <v>254</v>
      </c>
      <c r="F124" s="8" t="s">
        <v>12</v>
      </c>
      <c r="G124" s="8" t="s">
        <v>13</v>
      </c>
      <c r="H124" s="9"/>
      <c r="I124" s="9"/>
      <c r="J124" s="9"/>
      <c r="K124" s="9"/>
      <c r="L124" s="9"/>
      <c r="M124" s="9"/>
      <c r="N124" s="9"/>
      <c r="O124" s="9"/>
      <c r="P124" s="9"/>
    </row>
    <row r="125" ht="30.0" customHeight="1">
      <c r="A125" s="4" t="s">
        <v>107</v>
      </c>
      <c r="B125" s="5" t="s">
        <v>108</v>
      </c>
      <c r="C125" s="6">
        <v>4194.48</v>
      </c>
      <c r="D125" s="7" t="str">
        <f>HYPERLINK("http://www.usrc.it/AppRendiConta/det_104_20160323.pdf","Determina nr. 104 del 23/03/2016")</f>
        <v>Determina nr. 104 del 23/03/2016</v>
      </c>
      <c r="E125" s="5" t="s">
        <v>255</v>
      </c>
      <c r="F125" s="8" t="s">
        <v>12</v>
      </c>
      <c r="G125" s="8" t="s">
        <v>256</v>
      </c>
      <c r="H125" s="9"/>
      <c r="I125" s="9"/>
      <c r="J125" s="9"/>
      <c r="K125" s="9"/>
      <c r="L125" s="9"/>
      <c r="M125" s="9"/>
      <c r="N125" s="9"/>
      <c r="O125" s="9"/>
      <c r="P125" s="9"/>
    </row>
    <row r="126" ht="30.0" customHeight="1">
      <c r="A126" s="4" t="s">
        <v>257</v>
      </c>
      <c r="B126" s="5" t="s">
        <v>258</v>
      </c>
      <c r="C126" s="6">
        <v>88324.04</v>
      </c>
      <c r="D126" s="7" t="str">
        <f>HYPERLINK("http://www.usrc.it/AppRendiConta/det_105_20160323.pdf","Determina nr. 105 del 23/03/2016")</f>
        <v>Determina nr. 105 del 23/03/2016</v>
      </c>
      <c r="E126" s="8" t="s">
        <v>259</v>
      </c>
      <c r="F126" s="8" t="s">
        <v>12</v>
      </c>
      <c r="G126" s="8" t="s">
        <v>83</v>
      </c>
      <c r="H126" s="9"/>
      <c r="I126" s="9"/>
      <c r="J126" s="9"/>
      <c r="K126" s="9"/>
      <c r="L126" s="9"/>
      <c r="M126" s="9"/>
      <c r="N126" s="9"/>
      <c r="O126" s="9"/>
      <c r="P126" s="9"/>
    </row>
    <row r="127" ht="30.0" customHeight="1">
      <c r="A127" s="4" t="s">
        <v>59</v>
      </c>
      <c r="B127" s="5" t="s">
        <v>60</v>
      </c>
      <c r="C127" s="6">
        <v>140932.13</v>
      </c>
      <c r="D127" s="7" t="str">
        <f>HYPERLINK("http://www.usrc.it/AppRendiConta/det_110_20160330.pdf","Determina nr. 110 del 30/03/2016")</f>
        <v>Determina nr. 110 del 30/03/2016</v>
      </c>
      <c r="E127" s="8" t="s">
        <v>260</v>
      </c>
      <c r="F127" s="8" t="s">
        <v>12</v>
      </c>
      <c r="G127" s="8" t="s">
        <v>67</v>
      </c>
      <c r="H127" s="9"/>
      <c r="I127" s="9"/>
      <c r="J127" s="9"/>
      <c r="K127" s="9"/>
      <c r="L127" s="9"/>
      <c r="M127" s="9"/>
      <c r="N127" s="9"/>
      <c r="O127" s="9"/>
      <c r="P127" s="9"/>
    </row>
    <row r="128" ht="30.0" customHeight="1">
      <c r="A128" s="4" t="s">
        <v>226</v>
      </c>
      <c r="B128" s="5" t="s">
        <v>227</v>
      </c>
      <c r="C128" s="6">
        <v>38586.84</v>
      </c>
      <c r="D128" s="7" t="str">
        <f>HYPERLINK("http://www.usrc.it/AppRendiConta/det_112_20160330.pdf","Determina nr. 112 del 30/03/2016")</f>
        <v>Determina nr. 112 del 30/03/2016</v>
      </c>
      <c r="E128" s="8" t="s">
        <v>261</v>
      </c>
      <c r="F128" s="8" t="s">
        <v>12</v>
      </c>
      <c r="G128" s="8" t="s">
        <v>62</v>
      </c>
      <c r="H128" s="9"/>
      <c r="I128" s="9"/>
      <c r="J128" s="9"/>
      <c r="K128" s="9"/>
      <c r="L128" s="9"/>
      <c r="M128" s="9"/>
      <c r="N128" s="9"/>
      <c r="O128" s="9"/>
      <c r="P128" s="9"/>
    </row>
    <row r="129" ht="30.0" customHeight="1">
      <c r="A129" s="4" t="s">
        <v>262</v>
      </c>
      <c r="B129" s="5" t="s">
        <v>263</v>
      </c>
      <c r="C129" s="6">
        <v>115134.97</v>
      </c>
      <c r="D129" s="7" t="str">
        <f>HYPERLINK("http://www.usrc.it/AppRendiConta/det_113_20160330.pdf","Determina nr. 113 del 30/03/2016")</f>
        <v>Determina nr. 113 del 30/03/2016</v>
      </c>
      <c r="E129" s="8" t="s">
        <v>264</v>
      </c>
      <c r="F129" s="8" t="s">
        <v>12</v>
      </c>
      <c r="G129" s="8" t="s">
        <v>83</v>
      </c>
      <c r="H129" s="9"/>
      <c r="I129" s="9"/>
      <c r="J129" s="9"/>
      <c r="K129" s="9"/>
      <c r="L129" s="9"/>
      <c r="M129" s="9"/>
      <c r="N129" s="9"/>
      <c r="O129" s="9"/>
      <c r="P129" s="9"/>
    </row>
    <row r="130" ht="30.0" customHeight="1">
      <c r="A130" s="4" t="s">
        <v>46</v>
      </c>
      <c r="B130" s="5" t="s">
        <v>47</v>
      </c>
      <c r="C130" s="6">
        <v>84834.38</v>
      </c>
      <c r="D130" s="7" t="str">
        <f>HYPERLINK("http://www.usrc.it/AppRendiConta/det_117_20160331.pdf","Determina nr. 117 del 31/03/2016")</f>
        <v>Determina nr. 117 del 31/03/2016</v>
      </c>
      <c r="E130" s="5" t="s">
        <v>265</v>
      </c>
      <c r="F130" s="8" t="s">
        <v>12</v>
      </c>
      <c r="G130" s="8" t="s">
        <v>85</v>
      </c>
      <c r="H130" s="9"/>
      <c r="I130" s="9"/>
      <c r="J130" s="9"/>
      <c r="K130" s="9"/>
      <c r="L130" s="9"/>
      <c r="M130" s="9"/>
      <c r="N130" s="9"/>
      <c r="O130" s="9"/>
      <c r="P130" s="9"/>
    </row>
    <row r="131" ht="30.0" customHeight="1">
      <c r="A131" s="4" t="s">
        <v>266</v>
      </c>
      <c r="B131" s="5" t="s">
        <v>267</v>
      </c>
      <c r="C131" s="6">
        <v>51450.0</v>
      </c>
      <c r="D131" s="7" t="str">
        <f>HYPERLINK("http://www.usrc.it/AppRendiConta/det_118_20160331.pdf","Determina nr. 118 del 31/03/2016")</f>
        <v>Determina nr. 118 del 31/03/2016</v>
      </c>
      <c r="E131" s="5" t="s">
        <v>268</v>
      </c>
      <c r="F131" s="8" t="s">
        <v>12</v>
      </c>
      <c r="G131" s="8" t="s">
        <v>85</v>
      </c>
      <c r="H131" s="9"/>
      <c r="I131" s="9"/>
      <c r="J131" s="9"/>
      <c r="K131" s="9"/>
      <c r="L131" s="9"/>
      <c r="M131" s="9"/>
      <c r="N131" s="9"/>
      <c r="O131" s="9"/>
      <c r="P131" s="9"/>
    </row>
    <row r="132" ht="30.0" customHeight="1">
      <c r="A132" s="4" t="s">
        <v>269</v>
      </c>
      <c r="B132" s="5" t="s">
        <v>270</v>
      </c>
      <c r="C132" s="6">
        <v>19820.71</v>
      </c>
      <c r="D132" s="7" t="str">
        <f>HYPERLINK("http://www.usrc.it/AppRendiConta/det_123_20160401.pdf","Determina nr. 123 del 01/04/2016")</f>
        <v>Determina nr. 123 del 01/04/2016</v>
      </c>
      <c r="E132" s="8" t="s">
        <v>42</v>
      </c>
      <c r="F132" s="8" t="s">
        <v>12</v>
      </c>
      <c r="G132" s="8" t="s">
        <v>13</v>
      </c>
      <c r="H132" s="9"/>
      <c r="I132" s="9"/>
      <c r="J132" s="9"/>
      <c r="K132" s="9"/>
      <c r="L132" s="9"/>
      <c r="M132" s="9"/>
      <c r="N132" s="9"/>
      <c r="O132" s="9"/>
      <c r="P132" s="9"/>
    </row>
    <row r="133" ht="30.0" customHeight="1">
      <c r="A133" s="4" t="s">
        <v>271</v>
      </c>
      <c r="B133" s="5" t="s">
        <v>272</v>
      </c>
      <c r="C133" s="6">
        <v>150500.0</v>
      </c>
      <c r="D133" s="7" t="str">
        <f>HYPERLINK("http://www.usrc.it/AppRendiConta/det_126_20160405.pdf","Determina nr. 126 del 05/04/2016")</f>
        <v>Determina nr. 126 del 05/04/2016</v>
      </c>
      <c r="E133" s="8" t="s">
        <v>273</v>
      </c>
      <c r="F133" s="8" t="s">
        <v>12</v>
      </c>
      <c r="G133" s="8" t="s">
        <v>274</v>
      </c>
      <c r="H133" s="9"/>
      <c r="I133" s="9"/>
      <c r="J133" s="9"/>
      <c r="K133" s="9"/>
      <c r="L133" s="9"/>
      <c r="M133" s="9"/>
      <c r="N133" s="9"/>
      <c r="O133" s="9"/>
      <c r="P133" s="9"/>
    </row>
    <row r="134" ht="30.0" customHeight="1">
      <c r="A134" s="4" t="s">
        <v>275</v>
      </c>
      <c r="B134" s="5" t="s">
        <v>276</v>
      </c>
      <c r="C134" s="6">
        <v>53522.14</v>
      </c>
      <c r="D134" s="7" t="str">
        <f>HYPERLINK("http://www.usrc.it/AppRendiConta/det_127_20160406.pdf","Determina nr. 127 del 06/04/2016")</f>
        <v>Determina nr. 127 del 06/04/2016</v>
      </c>
      <c r="E134" s="8" t="s">
        <v>277</v>
      </c>
      <c r="F134" s="8" t="s">
        <v>12</v>
      </c>
      <c r="G134" s="8" t="s">
        <v>83</v>
      </c>
      <c r="H134" s="9"/>
      <c r="I134" s="9"/>
      <c r="J134" s="9"/>
      <c r="K134" s="9"/>
      <c r="L134" s="9"/>
      <c r="M134" s="9"/>
      <c r="N134" s="9"/>
      <c r="O134" s="9"/>
      <c r="P134" s="9"/>
    </row>
    <row r="135" ht="30.0" customHeight="1">
      <c r="A135" s="4" t="s">
        <v>131</v>
      </c>
      <c r="B135" s="5" t="s">
        <v>132</v>
      </c>
      <c r="C135" s="6">
        <v>124193.11</v>
      </c>
      <c r="D135" s="7" t="str">
        <f>HYPERLINK("http://www.usrc.it/AppRendiConta/det_128_20160406.pdf                                         ","Determina nr. 128 del 06/04/2016")</f>
        <v>Determina nr. 128 del 06/04/2016</v>
      </c>
      <c r="E135" s="5" t="s">
        <v>278</v>
      </c>
      <c r="F135" s="8" t="s">
        <v>12</v>
      </c>
      <c r="G135" s="8" t="s">
        <v>67</v>
      </c>
      <c r="H135" s="9"/>
      <c r="I135" s="9"/>
      <c r="J135" s="9"/>
      <c r="K135" s="9"/>
      <c r="L135" s="9"/>
      <c r="M135" s="9"/>
      <c r="N135" s="9"/>
      <c r="O135" s="9"/>
      <c r="P135" s="9"/>
    </row>
    <row r="136" ht="30.0" customHeight="1">
      <c r="A136" s="4" t="s">
        <v>107</v>
      </c>
      <c r="B136" s="5" t="s">
        <v>108</v>
      </c>
      <c r="C136" s="6">
        <v>41020.57</v>
      </c>
      <c r="D136" s="7" t="str">
        <f>HYPERLINK("http://www.usrc.it/AppRendiConta/det_129_20160406.pdf                                         ","Determina nr. 129 del 06/04/2016")</f>
        <v>Determina nr. 129 del 06/04/2016</v>
      </c>
      <c r="E136" s="5" t="s">
        <v>279</v>
      </c>
      <c r="F136" s="8" t="s">
        <v>12</v>
      </c>
      <c r="G136" s="8" t="s">
        <v>62</v>
      </c>
      <c r="H136" s="9"/>
      <c r="I136" s="9"/>
      <c r="J136" s="9"/>
      <c r="K136" s="9"/>
      <c r="L136" s="9"/>
      <c r="M136" s="9"/>
      <c r="N136" s="9"/>
      <c r="O136" s="9"/>
      <c r="P136" s="9"/>
    </row>
    <row r="137" ht="30.0" customHeight="1">
      <c r="A137" s="4" t="s">
        <v>107</v>
      </c>
      <c r="B137" s="5" t="s">
        <v>108</v>
      </c>
      <c r="C137" s="6">
        <v>45310.99</v>
      </c>
      <c r="D137" s="7" t="str">
        <f>HYPERLINK("http://www.usrc.it/AppRendiConta/det_130_20160406.pdf                                         ","Determina nr. 130 del 06/04/2016")</f>
        <v>Determina nr. 130 del 06/04/2016</v>
      </c>
      <c r="E137" s="5" t="s">
        <v>280</v>
      </c>
      <c r="F137" s="8" t="s">
        <v>12</v>
      </c>
      <c r="G137" s="8" t="s">
        <v>62</v>
      </c>
      <c r="H137" s="9"/>
      <c r="I137" s="9"/>
      <c r="J137" s="9"/>
      <c r="K137" s="9"/>
      <c r="L137" s="9"/>
      <c r="M137" s="9"/>
      <c r="N137" s="9"/>
      <c r="O137" s="9"/>
      <c r="P137" s="9"/>
    </row>
    <row r="138" ht="30.0" customHeight="1">
      <c r="A138" s="4" t="s">
        <v>119</v>
      </c>
      <c r="B138" s="5" t="s">
        <v>120</v>
      </c>
      <c r="C138" s="6">
        <v>47913.92</v>
      </c>
      <c r="D138" s="7" t="str">
        <f>HYPERLINK("http://www.usrc.it/AppRendiConta/det_131_20160407.pdf","Determina nr. 131 del 07/04/2016")</f>
        <v>Determina nr. 131 del 07/04/2016</v>
      </c>
      <c r="E138" s="8" t="s">
        <v>281</v>
      </c>
      <c r="F138" s="8" t="s">
        <v>12</v>
      </c>
      <c r="G138" s="8" t="s">
        <v>62</v>
      </c>
      <c r="H138" s="9"/>
      <c r="I138" s="9"/>
      <c r="J138" s="9"/>
      <c r="K138" s="9"/>
      <c r="L138" s="9"/>
      <c r="M138" s="9"/>
      <c r="N138" s="9"/>
      <c r="O138" s="9"/>
      <c r="P138" s="9"/>
    </row>
    <row r="139" ht="30.0" customHeight="1">
      <c r="A139" s="4" t="s">
        <v>119</v>
      </c>
      <c r="B139" s="5" t="s">
        <v>120</v>
      </c>
      <c r="C139" s="6">
        <v>2475.0</v>
      </c>
      <c r="D139" s="7" t="str">
        <f>HYPERLINK("http://www.usrc.it/AppRendiConta/det_132_20160407.pdf","Determina nr. 132 del 07/04/2016")</f>
        <v>Determina nr. 132 del 07/04/2016</v>
      </c>
      <c r="E139" s="8" t="s">
        <v>282</v>
      </c>
      <c r="F139" s="8" t="s">
        <v>12</v>
      </c>
      <c r="G139" s="8" t="s">
        <v>62</v>
      </c>
      <c r="H139" s="9"/>
      <c r="I139" s="9"/>
      <c r="J139" s="9"/>
      <c r="K139" s="9"/>
      <c r="L139" s="9"/>
      <c r="M139" s="9"/>
      <c r="N139" s="9"/>
      <c r="O139" s="9"/>
      <c r="P139" s="9"/>
    </row>
    <row r="140" ht="30.0" customHeight="1">
      <c r="A140" s="4" t="s">
        <v>20</v>
      </c>
      <c r="B140" s="5" t="s">
        <v>21</v>
      </c>
      <c r="C140" s="6">
        <v>67701.63</v>
      </c>
      <c r="D140" s="7" t="str">
        <f>HYPERLINK("http://www.usrc.it/AppRendiConta/det_133_20160407.pdf","Determina nr. 133 del 07/04/2016")</f>
        <v>Determina nr. 133 del 07/04/2016</v>
      </c>
      <c r="E140" s="8" t="s">
        <v>283</v>
      </c>
      <c r="F140" s="8" t="s">
        <v>12</v>
      </c>
      <c r="G140" s="8" t="s">
        <v>67</v>
      </c>
      <c r="H140" s="9"/>
      <c r="I140" s="9"/>
      <c r="J140" s="9"/>
      <c r="K140" s="9"/>
      <c r="L140" s="9"/>
      <c r="M140" s="9"/>
      <c r="N140" s="9"/>
      <c r="O140" s="9"/>
      <c r="P140" s="9"/>
    </row>
    <row r="141" ht="30.0" customHeight="1">
      <c r="A141" s="4" t="s">
        <v>284</v>
      </c>
      <c r="B141" s="5" t="s">
        <v>285</v>
      </c>
      <c r="C141" s="6">
        <v>33438.08</v>
      </c>
      <c r="D141" s="7" t="str">
        <f>HYPERLINK("http://www.usrc.it/AppRendiConta/det_135_20160407.pdf","Determina nr. 135 del 07/04/2016")</f>
        <v>Determina nr. 135 del 07/04/2016</v>
      </c>
      <c r="E141" s="8" t="s">
        <v>286</v>
      </c>
      <c r="F141" s="8" t="s">
        <v>12</v>
      </c>
      <c r="G141" s="8" t="s">
        <v>83</v>
      </c>
      <c r="H141" s="9"/>
      <c r="I141" s="9"/>
      <c r="J141" s="9"/>
      <c r="K141" s="9"/>
      <c r="L141" s="9"/>
      <c r="M141" s="9"/>
      <c r="N141" s="9"/>
      <c r="O141" s="9"/>
      <c r="P141" s="9"/>
    </row>
    <row r="142" ht="30.0" customHeight="1">
      <c r="A142" s="4" t="s">
        <v>64</v>
      </c>
      <c r="B142" s="5" t="s">
        <v>65</v>
      </c>
      <c r="C142" s="6">
        <v>46007.79</v>
      </c>
      <c r="D142" s="7" t="str">
        <f>HYPERLINK("http://www.usrc.it/AppRendiConta/det_136_20160407.pdf","Determina nr. 136 del 07/04/2016")</f>
        <v>Determina nr. 136 del 07/04/2016</v>
      </c>
      <c r="E142" s="8" t="s">
        <v>287</v>
      </c>
      <c r="F142" s="8" t="s">
        <v>12</v>
      </c>
      <c r="G142" s="8" t="s">
        <v>67</v>
      </c>
      <c r="H142" s="9"/>
      <c r="I142" s="9"/>
      <c r="J142" s="9"/>
      <c r="K142" s="9"/>
      <c r="L142" s="9"/>
      <c r="M142" s="9"/>
      <c r="N142" s="9"/>
      <c r="O142" s="9"/>
      <c r="P142" s="9"/>
    </row>
    <row r="143" ht="30.0" customHeight="1">
      <c r="A143" s="4" t="s">
        <v>107</v>
      </c>
      <c r="B143" s="5" t="s">
        <v>108</v>
      </c>
      <c r="C143" s="6">
        <v>15070.58</v>
      </c>
      <c r="D143" s="7" t="str">
        <f>HYPERLINK("http://www.usrc.it/AppRendiConta/det_137_20160407.pdf","Determina nr. 137 del 07/04/2016")</f>
        <v>Determina nr. 137 del 07/04/2016</v>
      </c>
      <c r="E143" s="8" t="s">
        <v>288</v>
      </c>
      <c r="F143" s="8" t="s">
        <v>12</v>
      </c>
      <c r="G143" s="8" t="s">
        <v>62</v>
      </c>
      <c r="H143" s="9"/>
      <c r="I143" s="9"/>
      <c r="J143" s="9"/>
      <c r="K143" s="9"/>
      <c r="L143" s="9"/>
      <c r="M143" s="9"/>
      <c r="N143" s="9"/>
      <c r="O143" s="9"/>
      <c r="P143" s="9"/>
    </row>
    <row r="144" ht="30.0" customHeight="1">
      <c r="A144" s="4" t="s">
        <v>289</v>
      </c>
      <c r="B144" s="5" t="s">
        <v>290</v>
      </c>
      <c r="C144" s="6">
        <v>5069288.96</v>
      </c>
      <c r="D144" s="7" t="str">
        <f>HYPERLINK("http://www.usrc.it/AppRendiConta/det_139_20160408.pdf","Determina nr. 139 del 08/04/2016")</f>
        <v>Determina nr. 139 del 08/04/2016</v>
      </c>
      <c r="E144" s="8" t="s">
        <v>291</v>
      </c>
      <c r="F144" s="8" t="s">
        <v>12</v>
      </c>
      <c r="G144" s="8" t="s">
        <v>79</v>
      </c>
      <c r="H144" s="9"/>
      <c r="I144" s="9"/>
      <c r="J144" s="9"/>
      <c r="K144" s="9"/>
      <c r="L144" s="9"/>
      <c r="M144" s="9"/>
      <c r="N144" s="9"/>
      <c r="O144" s="9"/>
      <c r="P144" s="9"/>
    </row>
    <row r="145" ht="30.0" customHeight="1">
      <c r="A145" s="4" t="s">
        <v>292</v>
      </c>
      <c r="B145" s="5" t="s">
        <v>293</v>
      </c>
      <c r="C145" s="6">
        <v>451770.0</v>
      </c>
      <c r="D145" s="7" t="str">
        <f>HYPERLINK("http://www.usrc.it/AppRendiConta/det_141_20160408.pdf","Determina nr. 141 del 08/04/2016")</f>
        <v>Determina nr. 141 del 08/04/2016</v>
      </c>
      <c r="E145" s="8" t="s">
        <v>294</v>
      </c>
      <c r="F145" s="8" t="s">
        <v>12</v>
      </c>
      <c r="G145" s="8" t="s">
        <v>85</v>
      </c>
      <c r="H145" s="9"/>
      <c r="I145" s="9"/>
      <c r="J145" s="9"/>
      <c r="K145" s="9"/>
      <c r="L145" s="9"/>
      <c r="M145" s="9"/>
      <c r="N145" s="9"/>
      <c r="O145" s="9"/>
      <c r="P145" s="9"/>
    </row>
    <row r="146" ht="30.0" customHeight="1">
      <c r="A146" s="4" t="s">
        <v>226</v>
      </c>
      <c r="B146" s="5" t="s">
        <v>227</v>
      </c>
      <c r="C146" s="6">
        <v>28092.37</v>
      </c>
      <c r="D146" s="7" t="str">
        <f>HYPERLINK("http://www.usrc.it/AppRendiConta/det_142_20160408.pdf","Determina nr. 142 del 08/04/2016")</f>
        <v>Determina nr. 142 del 08/04/2016</v>
      </c>
      <c r="E146" s="8" t="s">
        <v>295</v>
      </c>
      <c r="F146" s="8" t="s">
        <v>12</v>
      </c>
      <c r="G146" s="8" t="s">
        <v>62</v>
      </c>
      <c r="H146" s="9"/>
      <c r="I146" s="9"/>
      <c r="J146" s="9"/>
      <c r="K146" s="9"/>
      <c r="L146" s="9"/>
      <c r="M146" s="9"/>
      <c r="N146" s="9"/>
      <c r="O146" s="9"/>
      <c r="P146" s="9"/>
    </row>
    <row r="147" ht="30.0" customHeight="1">
      <c r="A147" s="4" t="s">
        <v>296</v>
      </c>
      <c r="B147" s="5" t="s">
        <v>297</v>
      </c>
      <c r="C147" s="6">
        <v>9208.18</v>
      </c>
      <c r="D147" s="7" t="str">
        <f>HYPERLINK("http://www.usrc.it/AppRendiConta/det_143_20160411.pdf","Determina nr. 143 del 11/04/2016")</f>
        <v>Determina nr. 143 del 11/04/2016</v>
      </c>
      <c r="E147" s="8" t="s">
        <v>298</v>
      </c>
      <c r="F147" s="8" t="s">
        <v>12</v>
      </c>
      <c r="G147" s="8" t="s">
        <v>83</v>
      </c>
      <c r="H147" s="9"/>
      <c r="I147" s="9"/>
      <c r="J147" s="9"/>
      <c r="K147" s="9"/>
      <c r="L147" s="9"/>
      <c r="M147" s="9"/>
      <c r="N147" s="9"/>
      <c r="O147" s="9"/>
      <c r="P147" s="9"/>
    </row>
    <row r="148" ht="30.0" customHeight="1">
      <c r="A148" s="4" t="s">
        <v>64</v>
      </c>
      <c r="B148" s="5" t="s">
        <v>65</v>
      </c>
      <c r="C148" s="6">
        <v>24920.94</v>
      </c>
      <c r="D148" s="7" t="str">
        <f>HYPERLINK("http://www.usrc.it/AppRendiConta/det_145_20160412.pdf","Determina nr. 145 del 12/04/2016")</f>
        <v>Determina nr. 145 del 12/04/2016</v>
      </c>
      <c r="E148" s="8" t="s">
        <v>42</v>
      </c>
      <c r="F148" s="8" t="s">
        <v>12</v>
      </c>
      <c r="G148" s="8" t="s">
        <v>67</v>
      </c>
      <c r="H148" s="9"/>
      <c r="I148" s="9"/>
      <c r="J148" s="9"/>
      <c r="K148" s="9"/>
      <c r="L148" s="9"/>
      <c r="M148" s="9"/>
      <c r="N148" s="9"/>
      <c r="O148" s="9"/>
      <c r="P148" s="9"/>
    </row>
    <row r="149" ht="30.0" customHeight="1">
      <c r="A149" s="4" t="s">
        <v>299</v>
      </c>
      <c r="B149" s="5" t="s">
        <v>300</v>
      </c>
      <c r="C149" s="10">
        <v>64288.08</v>
      </c>
      <c r="D149" s="7" t="str">
        <f>HYPERLINK("http://www.usrc.it/AppRendiConta/det_148_20160413.pdf","Determina nr. 148 del 13/04/2016")</f>
        <v>Determina nr. 148 del 13/04/2016</v>
      </c>
      <c r="E149" s="8" t="s">
        <v>301</v>
      </c>
      <c r="F149" s="8" t="s">
        <v>12</v>
      </c>
      <c r="G149" s="8" t="s">
        <v>85</v>
      </c>
      <c r="H149" s="9"/>
      <c r="I149" s="9"/>
      <c r="J149" s="9"/>
      <c r="K149" s="9"/>
      <c r="L149" s="9"/>
      <c r="M149" s="9"/>
      <c r="N149" s="9"/>
      <c r="O149" s="9"/>
      <c r="P149" s="9"/>
    </row>
    <row r="150" ht="30.0" customHeight="1">
      <c r="A150" s="4" t="s">
        <v>46</v>
      </c>
      <c r="B150" s="5" t="s">
        <v>47</v>
      </c>
      <c r="C150" s="10">
        <v>252000.0</v>
      </c>
      <c r="D150" s="7" t="str">
        <f>HYPERLINK("http://www.usrc.it/AppRendiConta/det_149_20160413.pdf","Determina nr. 149 del 13/04/2016")</f>
        <v>Determina nr. 149 del 13/04/2016</v>
      </c>
      <c r="E150" s="8" t="s">
        <v>302</v>
      </c>
      <c r="F150" s="8" t="s">
        <v>12</v>
      </c>
      <c r="G150" s="8" t="s">
        <v>85</v>
      </c>
      <c r="H150" s="9"/>
      <c r="I150" s="9"/>
      <c r="J150" s="9"/>
      <c r="K150" s="9"/>
      <c r="L150" s="9"/>
      <c r="M150" s="9"/>
      <c r="N150" s="9"/>
      <c r="O150" s="9"/>
      <c r="P150" s="9"/>
    </row>
    <row r="151" ht="30.0" customHeight="1">
      <c r="A151" s="4" t="s">
        <v>135</v>
      </c>
      <c r="B151" s="5" t="s">
        <v>136</v>
      </c>
      <c r="C151" s="6">
        <v>7548.28</v>
      </c>
      <c r="D151" s="7" t="str">
        <f t="shared" ref="D151:D156" si="9">HYPERLINK("http://www.usrc.it/AppRendiConta/det_152_20160414.pdf","Determina nr. 152 del 14/04/2016")</f>
        <v>Determina nr. 152 del 14/04/2016</v>
      </c>
      <c r="E151" s="8" t="s">
        <v>303</v>
      </c>
      <c r="F151" s="8" t="s">
        <v>12</v>
      </c>
      <c r="G151" s="8" t="s">
        <v>30</v>
      </c>
      <c r="H151" s="9"/>
      <c r="I151" s="9"/>
      <c r="J151" s="9"/>
      <c r="K151" s="9"/>
      <c r="L151" s="9"/>
      <c r="M151" s="9"/>
      <c r="N151" s="9"/>
      <c r="O151" s="9"/>
      <c r="P151" s="9"/>
    </row>
    <row r="152" ht="30.0" customHeight="1">
      <c r="A152" s="4" t="s">
        <v>304</v>
      </c>
      <c r="B152" s="5" t="s">
        <v>305</v>
      </c>
      <c r="C152" s="6">
        <v>2183.94</v>
      </c>
      <c r="D152" s="7" t="str">
        <f t="shared" si="9"/>
        <v>Determina nr. 152 del 14/04/2016</v>
      </c>
      <c r="E152" s="8" t="s">
        <v>306</v>
      </c>
      <c r="F152" s="8" t="s">
        <v>12</v>
      </c>
      <c r="G152" s="8" t="s">
        <v>30</v>
      </c>
      <c r="H152" s="9"/>
      <c r="I152" s="9"/>
      <c r="J152" s="9"/>
      <c r="K152" s="9"/>
      <c r="L152" s="9"/>
      <c r="M152" s="9"/>
      <c r="N152" s="9"/>
      <c r="O152" s="9"/>
      <c r="P152" s="9"/>
    </row>
    <row r="153" ht="30.0" customHeight="1">
      <c r="A153" s="4" t="s">
        <v>148</v>
      </c>
      <c r="B153" s="5" t="s">
        <v>149</v>
      </c>
      <c r="C153" s="6">
        <v>1200.0</v>
      </c>
      <c r="D153" s="7" t="str">
        <f t="shared" si="9"/>
        <v>Determina nr. 152 del 14/04/2016</v>
      </c>
      <c r="E153" s="8" t="s">
        <v>307</v>
      </c>
      <c r="F153" s="8" t="s">
        <v>12</v>
      </c>
      <c r="G153" s="8" t="s">
        <v>30</v>
      </c>
      <c r="H153" s="9"/>
      <c r="I153" s="9"/>
      <c r="J153" s="9"/>
      <c r="K153" s="9"/>
      <c r="L153" s="9"/>
      <c r="M153" s="9"/>
      <c r="N153" s="9"/>
      <c r="O153" s="9"/>
      <c r="P153" s="9"/>
    </row>
    <row r="154" ht="30.0" customHeight="1">
      <c r="A154" s="4" t="s">
        <v>115</v>
      </c>
      <c r="B154" s="5" t="s">
        <v>116</v>
      </c>
      <c r="C154" s="6">
        <v>16430.0</v>
      </c>
      <c r="D154" s="7" t="str">
        <f t="shared" si="9"/>
        <v>Determina nr. 152 del 14/04/2016</v>
      </c>
      <c r="E154" s="8" t="s">
        <v>308</v>
      </c>
      <c r="F154" s="8" t="s">
        <v>12</v>
      </c>
      <c r="G154" s="8" t="s">
        <v>30</v>
      </c>
      <c r="H154" s="9"/>
      <c r="I154" s="9"/>
      <c r="J154" s="9"/>
      <c r="K154" s="9"/>
      <c r="L154" s="9"/>
      <c r="M154" s="9"/>
      <c r="N154" s="9"/>
      <c r="O154" s="9"/>
      <c r="P154" s="9"/>
    </row>
    <row r="155" ht="30.0" customHeight="1">
      <c r="A155" s="4" t="s">
        <v>230</v>
      </c>
      <c r="B155" s="5" t="s">
        <v>231</v>
      </c>
      <c r="C155" s="6">
        <v>7000.0</v>
      </c>
      <c r="D155" s="7" t="str">
        <f t="shared" si="9"/>
        <v>Determina nr. 152 del 14/04/2016</v>
      </c>
      <c r="E155" s="8" t="s">
        <v>309</v>
      </c>
      <c r="F155" s="8" t="s">
        <v>12</v>
      </c>
      <c r="G155" s="8" t="s">
        <v>30</v>
      </c>
      <c r="H155" s="9"/>
      <c r="I155" s="9"/>
      <c r="J155" s="9"/>
      <c r="K155" s="9"/>
      <c r="L155" s="9"/>
      <c r="M155" s="9"/>
      <c r="N155" s="9"/>
      <c r="O155" s="9"/>
      <c r="P155" s="9"/>
    </row>
    <row r="156" ht="30.0" customHeight="1">
      <c r="A156" s="4" t="s">
        <v>310</v>
      </c>
      <c r="B156" s="8" t="s">
        <v>311</v>
      </c>
      <c r="C156" s="6">
        <v>188948.39</v>
      </c>
      <c r="D156" s="7" t="str">
        <f t="shared" si="9"/>
        <v>Determina nr. 152 del 14/04/2016</v>
      </c>
      <c r="E156" s="8" t="s">
        <v>312</v>
      </c>
      <c r="F156" s="8" t="s">
        <v>12</v>
      </c>
      <c r="G156" s="8" t="s">
        <v>30</v>
      </c>
      <c r="H156" s="9"/>
      <c r="I156" s="9"/>
      <c r="J156" s="9"/>
      <c r="K156" s="9"/>
      <c r="L156" s="9"/>
      <c r="M156" s="9"/>
      <c r="N156" s="9"/>
      <c r="O156" s="9"/>
      <c r="P156" s="9"/>
    </row>
    <row r="157" ht="30.0" customHeight="1">
      <c r="A157" s="4" t="s">
        <v>313</v>
      </c>
      <c r="B157" s="5" t="s">
        <v>314</v>
      </c>
      <c r="C157" s="6">
        <v>5600.0</v>
      </c>
      <c r="D157" s="7" t="str">
        <f t="shared" ref="D157:D158" si="10">HYPERLINK("http://www.usrc.it/AppRendiConta/det_153_20160414.pdf","Determina nr. 153 del 14/04/2016")</f>
        <v>Determina nr. 153 del 14/04/2016</v>
      </c>
      <c r="E157" s="8" t="s">
        <v>315</v>
      </c>
      <c r="F157" s="8" t="s">
        <v>12</v>
      </c>
      <c r="G157" s="8" t="s">
        <v>30</v>
      </c>
      <c r="H157" s="9"/>
      <c r="I157" s="9"/>
      <c r="J157" s="9"/>
      <c r="K157" s="9"/>
      <c r="L157" s="9"/>
      <c r="M157" s="9"/>
      <c r="N157" s="9"/>
      <c r="O157" s="9"/>
      <c r="P157" s="9"/>
    </row>
    <row r="158" ht="30.0" customHeight="1">
      <c r="A158" s="4" t="s">
        <v>180</v>
      </c>
      <c r="B158" s="5" t="s">
        <v>181</v>
      </c>
      <c r="C158" s="6">
        <v>3000.0</v>
      </c>
      <c r="D158" s="7" t="str">
        <f t="shared" si="10"/>
        <v>Determina nr. 153 del 14/04/2016</v>
      </c>
      <c r="E158" s="8" t="s">
        <v>316</v>
      </c>
      <c r="F158" s="8" t="s">
        <v>12</v>
      </c>
      <c r="G158" s="8" t="s">
        <v>30</v>
      </c>
      <c r="H158" s="9"/>
      <c r="I158" s="9"/>
      <c r="J158" s="9"/>
      <c r="K158" s="9"/>
      <c r="L158" s="9"/>
      <c r="M158" s="9"/>
      <c r="N158" s="9"/>
      <c r="O158" s="9"/>
      <c r="P158" s="9"/>
    </row>
    <row r="159" ht="30.0" customHeight="1">
      <c r="A159" s="4" t="s">
        <v>115</v>
      </c>
      <c r="B159" s="5" t="s">
        <v>116</v>
      </c>
      <c r="C159" s="6">
        <v>38400.0</v>
      </c>
      <c r="D159" s="7" t="str">
        <f>HYPERLINK("http://www.usrc.it/AppRendiConta/det_154_20160414.pdf","Determina nr. 154 del 14/04/2016")</f>
        <v>Determina nr. 154 del 14/04/2016</v>
      </c>
      <c r="E159" s="8" t="s">
        <v>317</v>
      </c>
      <c r="F159" s="8" t="s">
        <v>12</v>
      </c>
      <c r="G159" s="8" t="s">
        <v>30</v>
      </c>
      <c r="H159" s="9"/>
      <c r="I159" s="9"/>
      <c r="J159" s="9"/>
      <c r="K159" s="9"/>
      <c r="L159" s="9"/>
      <c r="M159" s="9"/>
      <c r="N159" s="9"/>
      <c r="O159" s="9"/>
      <c r="P159" s="9"/>
    </row>
    <row r="160" ht="30.0" customHeight="1">
      <c r="A160" s="4" t="s">
        <v>304</v>
      </c>
      <c r="B160" s="5" t="s">
        <v>305</v>
      </c>
      <c r="C160" s="6">
        <v>5551.0</v>
      </c>
      <c r="D160" s="7" t="str">
        <f t="shared" ref="D160:D162" si="11">HYPERLINK("http://www.usrc.it/AppRendiConta/det_155_20160414.pdf","Determina nr. 155 del 14/04/2016")</f>
        <v>Determina nr. 155 del 14/04/2016</v>
      </c>
      <c r="E160" s="8" t="s">
        <v>318</v>
      </c>
      <c r="F160" s="8" t="s">
        <v>12</v>
      </c>
      <c r="G160" s="8" t="s">
        <v>30</v>
      </c>
      <c r="H160" s="9"/>
      <c r="I160" s="9"/>
      <c r="J160" s="9"/>
      <c r="K160" s="9"/>
      <c r="L160" s="9"/>
      <c r="M160" s="9"/>
      <c r="N160" s="9"/>
      <c r="O160" s="9"/>
      <c r="P160" s="9"/>
    </row>
    <row r="161" ht="30.0" customHeight="1">
      <c r="A161" s="4" t="s">
        <v>119</v>
      </c>
      <c r="B161" s="5" t="s">
        <v>120</v>
      </c>
      <c r="C161" s="6">
        <v>366.0</v>
      </c>
      <c r="D161" s="7" t="str">
        <f t="shared" si="11"/>
        <v>Determina nr. 155 del 14/04/2016</v>
      </c>
      <c r="E161" s="8" t="s">
        <v>319</v>
      </c>
      <c r="F161" s="8" t="s">
        <v>12</v>
      </c>
      <c r="G161" s="8" t="s">
        <v>30</v>
      </c>
      <c r="H161" s="9"/>
      <c r="I161" s="9"/>
      <c r="J161" s="9"/>
      <c r="K161" s="9"/>
      <c r="L161" s="9"/>
      <c r="M161" s="9"/>
      <c r="N161" s="9"/>
      <c r="O161" s="9"/>
      <c r="P161" s="9"/>
    </row>
    <row r="162" ht="30.0" customHeight="1">
      <c r="A162" s="4" t="s">
        <v>20</v>
      </c>
      <c r="B162" s="11" t="s">
        <v>21</v>
      </c>
      <c r="C162" s="6">
        <v>5000.0</v>
      </c>
      <c r="D162" s="7" t="str">
        <f t="shared" si="11"/>
        <v>Determina nr. 155 del 14/04/2016</v>
      </c>
      <c r="E162" s="8" t="s">
        <v>320</v>
      </c>
      <c r="F162" s="8" t="s">
        <v>12</v>
      </c>
      <c r="G162" s="8" t="s">
        <v>30</v>
      </c>
      <c r="H162" s="9"/>
      <c r="I162" s="9"/>
      <c r="J162" s="9"/>
      <c r="K162" s="9"/>
      <c r="L162" s="9"/>
      <c r="M162" s="9"/>
      <c r="N162" s="9"/>
      <c r="O162" s="9"/>
      <c r="P162" s="9"/>
    </row>
    <row r="163" ht="30.0" customHeight="1">
      <c r="A163" s="4" t="s">
        <v>20</v>
      </c>
      <c r="B163" s="5" t="s">
        <v>21</v>
      </c>
      <c r="C163" s="6">
        <v>10797.9</v>
      </c>
      <c r="D163" s="7" t="str">
        <f>HYPERLINK("http://www.usrc.it/AppRendiConta/det_156_20160414.pdf","Determina nr. 156 del 14/04/2016")</f>
        <v>Determina nr. 156 del 14/04/2016</v>
      </c>
      <c r="E163" s="8" t="s">
        <v>321</v>
      </c>
      <c r="F163" s="8" t="s">
        <v>12</v>
      </c>
      <c r="G163" s="8" t="s">
        <v>322</v>
      </c>
      <c r="H163" s="9"/>
      <c r="I163" s="9"/>
      <c r="J163" s="9"/>
      <c r="K163" s="9"/>
      <c r="L163" s="9"/>
      <c r="M163" s="9"/>
      <c r="N163" s="9"/>
      <c r="O163" s="9"/>
      <c r="P163" s="9"/>
    </row>
    <row r="164" ht="30.0" customHeight="1">
      <c r="A164" s="4" t="s">
        <v>323</v>
      </c>
      <c r="B164" s="5" t="s">
        <v>324</v>
      </c>
      <c r="C164" s="6">
        <v>21600.0</v>
      </c>
      <c r="D164" s="7" t="str">
        <f t="shared" ref="D164:D172" si="12">HYPERLINK("http://www.usrc.it/AppRendiConta/det_157_20160414.pdf","Determina nr. 157 del 14/04/2016")</f>
        <v>Determina nr. 157 del 14/04/2016</v>
      </c>
      <c r="E164" s="8" t="s">
        <v>208</v>
      </c>
      <c r="F164" s="8" t="s">
        <v>12</v>
      </c>
      <c r="G164" s="8" t="s">
        <v>322</v>
      </c>
      <c r="H164" s="9"/>
      <c r="I164" s="9"/>
      <c r="J164" s="9"/>
      <c r="K164" s="9"/>
      <c r="L164" s="9"/>
      <c r="M164" s="9"/>
      <c r="N164" s="9"/>
      <c r="O164" s="9"/>
      <c r="P164" s="9"/>
    </row>
    <row r="165" ht="30.0" customHeight="1">
      <c r="A165" s="4" t="s">
        <v>148</v>
      </c>
      <c r="B165" s="5" t="s">
        <v>149</v>
      </c>
      <c r="C165" s="6">
        <v>3600.0</v>
      </c>
      <c r="D165" s="7" t="str">
        <f t="shared" si="12"/>
        <v>Determina nr. 157 del 14/04/2016</v>
      </c>
      <c r="E165" s="8" t="s">
        <v>325</v>
      </c>
      <c r="F165" s="8" t="s">
        <v>12</v>
      </c>
      <c r="G165" s="8" t="s">
        <v>322</v>
      </c>
      <c r="H165" s="9"/>
      <c r="I165" s="9"/>
      <c r="J165" s="9"/>
      <c r="K165" s="9"/>
      <c r="L165" s="9"/>
      <c r="M165" s="9"/>
      <c r="N165" s="9"/>
      <c r="O165" s="9"/>
      <c r="P165" s="9"/>
    </row>
    <row r="166" ht="30.0" customHeight="1">
      <c r="A166" s="4" t="s">
        <v>154</v>
      </c>
      <c r="B166" s="5" t="s">
        <v>155</v>
      </c>
      <c r="C166" s="6">
        <v>1800.0</v>
      </c>
      <c r="D166" s="7" t="str">
        <f t="shared" si="12"/>
        <v>Determina nr. 157 del 14/04/2016</v>
      </c>
      <c r="E166" s="8" t="s">
        <v>326</v>
      </c>
      <c r="F166" s="8" t="s">
        <v>12</v>
      </c>
      <c r="G166" s="8" t="s">
        <v>322</v>
      </c>
      <c r="H166" s="9"/>
      <c r="I166" s="9"/>
      <c r="J166" s="9"/>
      <c r="K166" s="9"/>
      <c r="L166" s="9"/>
      <c r="M166" s="9"/>
      <c r="N166" s="9"/>
      <c r="O166" s="9"/>
      <c r="P166" s="9"/>
    </row>
    <row r="167" ht="30.0" customHeight="1">
      <c r="A167" s="4" t="s">
        <v>235</v>
      </c>
      <c r="B167" s="5" t="s">
        <v>236</v>
      </c>
      <c r="C167" s="6">
        <v>21600.0</v>
      </c>
      <c r="D167" s="7" t="str">
        <f t="shared" si="12"/>
        <v>Determina nr. 157 del 14/04/2016</v>
      </c>
      <c r="E167" s="8" t="s">
        <v>208</v>
      </c>
      <c r="F167" s="8" t="s">
        <v>12</v>
      </c>
      <c r="G167" s="8" t="s">
        <v>322</v>
      </c>
      <c r="H167" s="9"/>
      <c r="I167" s="9"/>
      <c r="J167" s="9"/>
      <c r="K167" s="9"/>
      <c r="L167" s="9"/>
      <c r="M167" s="9"/>
      <c r="N167" s="9"/>
      <c r="O167" s="9"/>
      <c r="P167" s="9"/>
    </row>
    <row r="168" ht="30.0" customHeight="1">
      <c r="A168" s="4" t="s">
        <v>115</v>
      </c>
      <c r="B168" s="5" t="s">
        <v>116</v>
      </c>
      <c r="C168" s="6">
        <v>10800.0</v>
      </c>
      <c r="D168" s="7" t="str">
        <f t="shared" si="12"/>
        <v>Determina nr. 157 del 14/04/2016</v>
      </c>
      <c r="E168" s="8" t="s">
        <v>207</v>
      </c>
      <c r="F168" s="8" t="s">
        <v>12</v>
      </c>
      <c r="G168" s="8" t="s">
        <v>322</v>
      </c>
      <c r="H168" s="9"/>
      <c r="I168" s="9"/>
      <c r="J168" s="9"/>
      <c r="K168" s="9"/>
      <c r="L168" s="9"/>
      <c r="M168" s="9"/>
      <c r="N168" s="9"/>
      <c r="O168" s="9"/>
      <c r="P168" s="9"/>
    </row>
    <row r="169" ht="30.0" customHeight="1">
      <c r="A169" s="4" t="s">
        <v>34</v>
      </c>
      <c r="B169" s="8" t="s">
        <v>35</v>
      </c>
      <c r="C169" s="6">
        <v>10800.0</v>
      </c>
      <c r="D169" s="7" t="str">
        <f t="shared" si="12"/>
        <v>Determina nr. 157 del 14/04/2016</v>
      </c>
      <c r="E169" s="8" t="s">
        <v>207</v>
      </c>
      <c r="F169" s="8" t="s">
        <v>12</v>
      </c>
      <c r="G169" s="8" t="s">
        <v>322</v>
      </c>
      <c r="H169" s="9"/>
      <c r="I169" s="9"/>
      <c r="J169" s="9"/>
      <c r="K169" s="9"/>
      <c r="L169" s="9"/>
      <c r="M169" s="9"/>
      <c r="N169" s="9"/>
      <c r="O169" s="9"/>
      <c r="P169" s="9"/>
    </row>
    <row r="170" ht="30.0" customHeight="1">
      <c r="A170" s="4" t="s">
        <v>327</v>
      </c>
      <c r="B170" s="5" t="s">
        <v>328</v>
      </c>
      <c r="C170" s="6">
        <v>10800.0</v>
      </c>
      <c r="D170" s="7" t="str">
        <f t="shared" si="12"/>
        <v>Determina nr. 157 del 14/04/2016</v>
      </c>
      <c r="E170" s="8" t="s">
        <v>207</v>
      </c>
      <c r="F170" s="8" t="s">
        <v>12</v>
      </c>
      <c r="G170" s="8" t="s">
        <v>322</v>
      </c>
      <c r="H170" s="9"/>
      <c r="I170" s="9"/>
      <c r="J170" s="9"/>
      <c r="K170" s="9"/>
      <c r="L170" s="9"/>
      <c r="M170" s="9"/>
      <c r="N170" s="9"/>
      <c r="O170" s="9"/>
      <c r="P170" s="9"/>
    </row>
    <row r="171" ht="30.0" customHeight="1">
      <c r="A171" s="4" t="s">
        <v>64</v>
      </c>
      <c r="B171" s="5" t="s">
        <v>65</v>
      </c>
      <c r="C171" s="6">
        <v>10800.0</v>
      </c>
      <c r="D171" s="7" t="str">
        <f t="shared" si="12"/>
        <v>Determina nr. 157 del 14/04/2016</v>
      </c>
      <c r="E171" s="8" t="s">
        <v>207</v>
      </c>
      <c r="F171" s="8" t="s">
        <v>12</v>
      </c>
      <c r="G171" s="8" t="s">
        <v>322</v>
      </c>
      <c r="H171" s="9"/>
      <c r="I171" s="9"/>
      <c r="J171" s="9"/>
      <c r="K171" s="9"/>
      <c r="L171" s="9"/>
      <c r="M171" s="9"/>
      <c r="N171" s="9"/>
      <c r="O171" s="9"/>
      <c r="P171" s="9"/>
    </row>
    <row r="172" ht="30.0" customHeight="1">
      <c r="A172" s="4" t="s">
        <v>20</v>
      </c>
      <c r="B172" s="5" t="s">
        <v>21</v>
      </c>
      <c r="C172" s="6">
        <v>21594.58</v>
      </c>
      <c r="D172" s="7" t="str">
        <f t="shared" si="12"/>
        <v>Determina nr. 157 del 14/04/2016</v>
      </c>
      <c r="E172" s="8" t="s">
        <v>208</v>
      </c>
      <c r="F172" s="8" t="s">
        <v>12</v>
      </c>
      <c r="G172" s="8" t="s">
        <v>322</v>
      </c>
      <c r="H172" s="9"/>
      <c r="I172" s="9"/>
      <c r="J172" s="9"/>
      <c r="K172" s="9"/>
      <c r="L172" s="9"/>
      <c r="M172" s="9"/>
      <c r="N172" s="9"/>
      <c r="O172" s="9"/>
      <c r="P172" s="9"/>
    </row>
    <row r="173" ht="30.0" customHeight="1">
      <c r="A173" s="4" t="s">
        <v>235</v>
      </c>
      <c r="B173" s="5" t="s">
        <v>236</v>
      </c>
      <c r="C173" s="6">
        <v>350.0</v>
      </c>
      <c r="D173" s="7" t="str">
        <f t="shared" ref="D173:D174" si="13">HYPERLINK("http://www.usrc.it/AppRendiConta/det_158_20160414.pdf","Determina nr. 158 del 14/04/2016")</f>
        <v>Determina nr. 158 del 14/04/2016</v>
      </c>
      <c r="E173" s="8" t="s">
        <v>329</v>
      </c>
      <c r="F173" s="8" t="s">
        <v>12</v>
      </c>
      <c r="G173" s="8" t="s">
        <v>30</v>
      </c>
      <c r="H173" s="9"/>
      <c r="I173" s="9"/>
      <c r="J173" s="9"/>
      <c r="K173" s="9"/>
      <c r="L173" s="9"/>
      <c r="M173" s="9"/>
      <c r="N173" s="9"/>
      <c r="O173" s="9"/>
      <c r="P173" s="9"/>
    </row>
    <row r="174" ht="30.0" customHeight="1">
      <c r="A174" s="4" t="s">
        <v>115</v>
      </c>
      <c r="B174" s="5" t="s">
        <v>116</v>
      </c>
      <c r="C174" s="6">
        <v>29900.0</v>
      </c>
      <c r="D174" s="7" t="str">
        <f t="shared" si="13"/>
        <v>Determina nr. 158 del 14/04/2016</v>
      </c>
      <c r="E174" s="8" t="s">
        <v>330</v>
      </c>
      <c r="F174" s="8" t="s">
        <v>12</v>
      </c>
      <c r="G174" s="8" t="s">
        <v>30</v>
      </c>
      <c r="H174" s="9"/>
      <c r="I174" s="9"/>
      <c r="J174" s="9"/>
      <c r="K174" s="9"/>
      <c r="L174" s="9"/>
      <c r="M174" s="9"/>
      <c r="N174" s="9"/>
      <c r="O174" s="9"/>
      <c r="P174" s="9"/>
    </row>
    <row r="175" ht="30.0" customHeight="1">
      <c r="A175" s="4" t="s">
        <v>46</v>
      </c>
      <c r="B175" s="5" t="s">
        <v>47</v>
      </c>
      <c r="C175" s="6">
        <v>509112.92</v>
      </c>
      <c r="D175" s="7" t="str">
        <f>HYPERLINK("http://www.usrc.it/AppRendiConta/det_162_20160418.pdf","Determina nr. 162 del 18/04/2016")</f>
        <v>Determina nr. 162 del 18/04/2016</v>
      </c>
      <c r="E175" s="8" t="s">
        <v>331</v>
      </c>
      <c r="F175" s="8" t="s">
        <v>12</v>
      </c>
      <c r="G175" s="8" t="s">
        <v>85</v>
      </c>
      <c r="H175" s="9"/>
      <c r="I175" s="9"/>
      <c r="J175" s="9"/>
      <c r="K175" s="9"/>
      <c r="L175" s="9"/>
      <c r="M175" s="9"/>
      <c r="N175" s="9"/>
      <c r="O175" s="9"/>
      <c r="P175" s="9"/>
    </row>
    <row r="176" ht="30.0" customHeight="1">
      <c r="A176" s="4" t="s">
        <v>148</v>
      </c>
      <c r="B176" s="5" t="s">
        <v>149</v>
      </c>
      <c r="C176" s="6">
        <v>27691.53</v>
      </c>
      <c r="D176" s="7" t="str">
        <f>HYPERLINK("http://www.usrc.it/AppRendiConta/det_163_20160419.pdf","Determina nr. 163 del 19/04/2016")</f>
        <v>Determina nr. 163 del 19/04/2016</v>
      </c>
      <c r="E176" s="8" t="s">
        <v>42</v>
      </c>
      <c r="F176" s="8" t="s">
        <v>12</v>
      </c>
      <c r="G176" s="8" t="s">
        <v>67</v>
      </c>
      <c r="H176" s="9"/>
      <c r="I176" s="9"/>
      <c r="J176" s="9"/>
      <c r="K176" s="9"/>
      <c r="L176" s="9"/>
      <c r="M176" s="9"/>
      <c r="N176" s="9"/>
      <c r="O176" s="9"/>
      <c r="P176" s="9"/>
    </row>
    <row r="177" ht="53.25" customHeight="1">
      <c r="A177" s="4" t="s">
        <v>230</v>
      </c>
      <c r="B177" s="5" t="s">
        <v>231</v>
      </c>
      <c r="C177" s="6">
        <v>18204.05</v>
      </c>
      <c r="D177" s="7" t="str">
        <f>HYPERLINK("http://www.usrc.it/AppRendiConta/det_165_20160420.pdf","Determina nr. 165 del 20/04/2016")</f>
        <v>Determina nr. 165 del 20/04/2016</v>
      </c>
      <c r="E177" s="5" t="s">
        <v>332</v>
      </c>
      <c r="F177" s="8" t="s">
        <v>12</v>
      </c>
      <c r="G177" s="8" t="s">
        <v>67</v>
      </c>
      <c r="H177" s="9"/>
      <c r="I177" s="9"/>
      <c r="J177" s="9"/>
      <c r="K177" s="9"/>
      <c r="L177" s="9"/>
      <c r="M177" s="9"/>
      <c r="N177" s="9"/>
      <c r="O177" s="9"/>
      <c r="P177" s="9"/>
    </row>
    <row r="178" ht="30.0" customHeight="1">
      <c r="A178" s="4" t="s">
        <v>20</v>
      </c>
      <c r="B178" s="5" t="s">
        <v>21</v>
      </c>
      <c r="C178" s="6">
        <v>37634.75</v>
      </c>
      <c r="D178" s="7" t="str">
        <f>HYPERLINK("http://www.usrc.it/AppRendiConta/det_166_20160420.pdf","Determina nr. 166 del 20/04/2016")</f>
        <v>Determina nr. 166 del 20/04/2016</v>
      </c>
      <c r="E178" s="8" t="s">
        <v>333</v>
      </c>
      <c r="F178" s="8" t="s">
        <v>12</v>
      </c>
      <c r="G178" s="8" t="s">
        <v>67</v>
      </c>
      <c r="H178" s="9"/>
      <c r="I178" s="9"/>
      <c r="J178" s="9"/>
      <c r="K178" s="9"/>
      <c r="L178" s="9"/>
      <c r="M178" s="9"/>
      <c r="N178" s="9"/>
      <c r="O178" s="9"/>
      <c r="P178" s="9"/>
    </row>
    <row r="179" ht="57.0" customHeight="1">
      <c r="A179" s="4" t="s">
        <v>334</v>
      </c>
      <c r="B179" s="5" t="s">
        <v>335</v>
      </c>
      <c r="C179" s="6">
        <v>102059.43</v>
      </c>
      <c r="D179" s="7" t="str">
        <f>HYPERLINK("http://www.usrc.it/AppRendiConta/det_168_20160421.pdf","Determina nr. 168 del 21/04/2016")</f>
        <v>Determina nr. 168 del 21/04/2016</v>
      </c>
      <c r="E179" s="8" t="s">
        <v>336</v>
      </c>
      <c r="F179" s="8" t="s">
        <v>12</v>
      </c>
      <c r="G179" s="8" t="s">
        <v>85</v>
      </c>
      <c r="H179" s="9"/>
      <c r="I179" s="9"/>
      <c r="J179" s="9"/>
      <c r="K179" s="9"/>
      <c r="L179" s="9"/>
      <c r="M179" s="9"/>
      <c r="N179" s="9"/>
      <c r="O179" s="9"/>
      <c r="P179" s="9"/>
    </row>
    <row r="180" ht="30.0" customHeight="1">
      <c r="A180" s="4" t="s">
        <v>107</v>
      </c>
      <c r="B180" s="5" t="s">
        <v>108</v>
      </c>
      <c r="C180" s="6">
        <v>28505.93</v>
      </c>
      <c r="D180" s="12" t="str">
        <f>HYPERLINK("http://www.usrc.it/AppRendiConta/det_171_20160426.pdf","Determina nr. 171 del 26/04/2016")</f>
        <v>Determina nr. 171 del 26/04/2016</v>
      </c>
      <c r="E180" s="5" t="s">
        <v>337</v>
      </c>
      <c r="F180" s="8" t="s">
        <v>12</v>
      </c>
      <c r="G180" s="8" t="s">
        <v>62</v>
      </c>
      <c r="H180" s="8"/>
      <c r="I180" s="9"/>
      <c r="J180" s="9"/>
      <c r="K180" s="9"/>
      <c r="L180" s="9"/>
      <c r="M180" s="9"/>
      <c r="N180" s="9"/>
      <c r="O180" s="9"/>
      <c r="P180" s="9"/>
    </row>
    <row r="181" ht="30.0" customHeight="1">
      <c r="A181" s="4" t="s">
        <v>205</v>
      </c>
      <c r="B181" s="5" t="s">
        <v>206</v>
      </c>
      <c r="C181" s="6">
        <v>78104.0</v>
      </c>
      <c r="D181" s="12" t="str">
        <f>HYPERLINK("http://www.usrc.it/AppRendiConta/det_176_20160426.pdf","Determina nr. 176 del 26/04/2016")</f>
        <v>Determina nr. 176 del 26/04/2016</v>
      </c>
      <c r="E181" s="8" t="s">
        <v>338</v>
      </c>
      <c r="F181" s="8" t="s">
        <v>12</v>
      </c>
      <c r="G181" s="8" t="s">
        <v>67</v>
      </c>
      <c r="H181" s="8"/>
      <c r="I181" s="9"/>
      <c r="J181" s="9"/>
      <c r="K181" s="9"/>
      <c r="L181" s="9"/>
      <c r="M181" s="9"/>
      <c r="N181" s="9"/>
      <c r="O181" s="9"/>
      <c r="P181" s="9"/>
    </row>
    <row r="182" ht="30.0" customHeight="1">
      <c r="A182" s="4" t="s">
        <v>31</v>
      </c>
      <c r="B182" s="5" t="s">
        <v>32</v>
      </c>
      <c r="C182" s="6">
        <v>210859.54</v>
      </c>
      <c r="D182" s="12" t="str">
        <f>HYPERLINK("http://www.usrc.it/AppRendiConta/det_178_20160426.pdf","Determina nr. 178 del 26/04/2016")</f>
        <v>Determina nr. 178 del 26/04/2016</v>
      </c>
      <c r="E182" s="8" t="s">
        <v>339</v>
      </c>
      <c r="F182" s="8" t="s">
        <v>12</v>
      </c>
      <c r="G182" s="8" t="s">
        <v>67</v>
      </c>
      <c r="H182" s="8"/>
      <c r="I182" s="9"/>
      <c r="J182" s="9"/>
      <c r="K182" s="9"/>
      <c r="L182" s="9"/>
      <c r="M182" s="9"/>
      <c r="N182" s="9"/>
      <c r="O182" s="9"/>
      <c r="P182" s="9"/>
    </row>
    <row r="183" ht="30.0" customHeight="1">
      <c r="A183" s="4" t="s">
        <v>266</v>
      </c>
      <c r="B183" s="5" t="s">
        <v>267</v>
      </c>
      <c r="C183" s="6">
        <v>30455.97</v>
      </c>
      <c r="D183" s="12" t="str">
        <f>HYPERLINK("http://www.usrc.it/AppRendiConta/det_181_20160426.pdf","Determina nr. 181 del 26/04/2016")</f>
        <v>Determina nr. 181 del 26/04/2016</v>
      </c>
      <c r="E183" s="8" t="s">
        <v>340</v>
      </c>
      <c r="F183" s="8" t="s">
        <v>12</v>
      </c>
      <c r="G183" s="8" t="s">
        <v>83</v>
      </c>
      <c r="H183" s="8"/>
      <c r="I183" s="9"/>
      <c r="J183" s="9"/>
      <c r="K183" s="9"/>
      <c r="L183" s="9"/>
      <c r="M183" s="9"/>
      <c r="N183" s="9"/>
      <c r="O183" s="9"/>
      <c r="P183" s="9"/>
    </row>
    <row r="184" ht="30.0" customHeight="1">
      <c r="A184" s="4" t="s">
        <v>341</v>
      </c>
      <c r="B184" s="5" t="s">
        <v>342</v>
      </c>
      <c r="C184" s="6">
        <v>83330.95</v>
      </c>
      <c r="D184" s="7" t="str">
        <f>HYPERLINK("http://www.usrc.it/AppRendiConta/det_182_20160426.pdf","Determina nr. 182 del 26/04/2016")</f>
        <v>Determina nr. 182 del 26/04/2016</v>
      </c>
      <c r="E184" s="8" t="s">
        <v>343</v>
      </c>
      <c r="F184" s="8" t="s">
        <v>12</v>
      </c>
      <c r="G184" s="8" t="s">
        <v>85</v>
      </c>
      <c r="H184" s="9"/>
      <c r="I184" s="9"/>
      <c r="J184" s="9"/>
      <c r="K184" s="9"/>
      <c r="L184" s="9"/>
      <c r="M184" s="9"/>
      <c r="N184" s="9"/>
      <c r="O184" s="9"/>
      <c r="P184" s="9"/>
    </row>
    <row r="185" ht="30.0" customHeight="1">
      <c r="A185" s="4" t="s">
        <v>148</v>
      </c>
      <c r="B185" s="5" t="s">
        <v>149</v>
      </c>
      <c r="C185" s="6">
        <v>1600441.75</v>
      </c>
      <c r="D185" s="7" t="str">
        <f>HYPERLINK("http://www.usrc.it/AppRendiConta/det_183_20160426.pdf","Determina nr. 183 del 26/04/2016")</f>
        <v>Determina nr. 183 del 26/04/2016</v>
      </c>
      <c r="E185" s="8" t="s">
        <v>344</v>
      </c>
      <c r="F185" s="8" t="s">
        <v>12</v>
      </c>
      <c r="G185" s="8" t="s">
        <v>79</v>
      </c>
      <c r="H185" s="9"/>
      <c r="I185" s="9"/>
      <c r="J185" s="9"/>
      <c r="K185" s="9"/>
      <c r="L185" s="9"/>
      <c r="M185" s="9"/>
      <c r="N185" s="9"/>
      <c r="O185" s="9"/>
      <c r="P185" s="9"/>
    </row>
    <row r="186" ht="30.0" customHeight="1">
      <c r="A186" s="4" t="s">
        <v>126</v>
      </c>
      <c r="B186" s="13" t="s">
        <v>127</v>
      </c>
      <c r="C186" s="6">
        <v>1914129.13</v>
      </c>
      <c r="D186" s="7" t="str">
        <f>HYPERLINK("http://www.usrc.it/AppRendiConta/det_186_20160503.pdf","Determina nr. 186 del 03/05/2016")</f>
        <v>Determina nr. 186 del 03/05/2016</v>
      </c>
      <c r="E186" s="5" t="s">
        <v>345</v>
      </c>
      <c r="F186" s="8" t="s">
        <v>12</v>
      </c>
      <c r="G186" s="8" t="s">
        <v>79</v>
      </c>
      <c r="H186" s="9"/>
      <c r="I186" s="9"/>
      <c r="J186" s="9"/>
      <c r="K186" s="9"/>
      <c r="L186" s="9"/>
      <c r="M186" s="9"/>
      <c r="N186" s="9"/>
      <c r="O186" s="9"/>
      <c r="P186" s="9"/>
    </row>
    <row r="187" ht="30.0" customHeight="1">
      <c r="A187" s="4" t="s">
        <v>235</v>
      </c>
      <c r="B187" s="5" t="s">
        <v>236</v>
      </c>
      <c r="C187" s="6">
        <v>623136.11</v>
      </c>
      <c r="D187" s="7" t="str">
        <f>HYPERLINK("http://www.usrc.it/AppRendiConta/det_189_20160503.pdf","Determina nr. 189 del 03/05/2016")</f>
        <v>Determina nr. 189 del 03/05/2016</v>
      </c>
      <c r="E187" s="5" t="s">
        <v>346</v>
      </c>
      <c r="F187" s="8" t="s">
        <v>12</v>
      </c>
      <c r="G187" s="8" t="s">
        <v>85</v>
      </c>
      <c r="H187" s="9"/>
      <c r="I187" s="9"/>
      <c r="J187" s="9"/>
      <c r="K187" s="9"/>
      <c r="L187" s="9"/>
      <c r="M187" s="9"/>
      <c r="N187" s="9"/>
      <c r="O187" s="9"/>
      <c r="P187" s="9"/>
    </row>
    <row r="188" ht="30.0" customHeight="1">
      <c r="A188" s="4" t="s">
        <v>14</v>
      </c>
      <c r="B188" s="5" t="s">
        <v>15</v>
      </c>
      <c r="C188" s="6">
        <v>30931.54</v>
      </c>
      <c r="D188" s="7" t="str">
        <f>HYPERLINK("http://www.usrc.it/AppRendiConta/det_190_20160503.pdf","Determina nr. 190 del 03/05/2016")</f>
        <v>Determina nr. 190 del 03/05/2016</v>
      </c>
      <c r="E188" s="5" t="s">
        <v>347</v>
      </c>
      <c r="F188" s="8" t="s">
        <v>12</v>
      </c>
      <c r="G188" s="8" t="s">
        <v>67</v>
      </c>
      <c r="H188" s="9"/>
      <c r="I188" s="9"/>
      <c r="J188" s="9"/>
      <c r="K188" s="9"/>
      <c r="L188" s="9"/>
      <c r="M188" s="9"/>
      <c r="N188" s="9"/>
      <c r="O188" s="9"/>
      <c r="P188" s="9"/>
    </row>
    <row r="189" ht="30.0" customHeight="1">
      <c r="A189" s="4" t="s">
        <v>107</v>
      </c>
      <c r="B189" s="5" t="s">
        <v>108</v>
      </c>
      <c r="C189" s="6">
        <v>24626.35</v>
      </c>
      <c r="D189" s="7" t="str">
        <f>HYPERLINK("http://www.usrc.it/AppRendiConta/det_192_20160504.pdf","Determina nr. 192 del 04/05/2016")</f>
        <v>Determina nr. 192 del 04/05/2016</v>
      </c>
      <c r="E189" s="5" t="s">
        <v>348</v>
      </c>
      <c r="F189" s="8" t="s">
        <v>12</v>
      </c>
      <c r="G189" s="8" t="s">
        <v>62</v>
      </c>
      <c r="H189" s="9"/>
      <c r="I189" s="9"/>
      <c r="J189" s="9"/>
      <c r="K189" s="9"/>
      <c r="L189" s="9"/>
      <c r="M189" s="9"/>
      <c r="N189" s="9"/>
      <c r="O189" s="9"/>
      <c r="P189" s="9"/>
    </row>
    <row r="190" ht="30.0" customHeight="1">
      <c r="A190" s="4" t="s">
        <v>349</v>
      </c>
      <c r="B190" s="5" t="s">
        <v>350</v>
      </c>
      <c r="C190" s="6">
        <v>104791.22</v>
      </c>
      <c r="D190" s="7" t="str">
        <f>HYPERLINK("http://www.usrc.it/AppRendiConta/det_193_20160504.pdf","Determina nr. 193 del 04/05/2016")</f>
        <v>Determina nr. 193 del 04/05/2016</v>
      </c>
      <c r="E190" s="5" t="s">
        <v>351</v>
      </c>
      <c r="F190" s="8" t="s">
        <v>12</v>
      </c>
      <c r="G190" s="8" t="s">
        <v>352</v>
      </c>
      <c r="H190" s="9"/>
      <c r="I190" s="9"/>
      <c r="J190" s="9"/>
      <c r="K190" s="9"/>
      <c r="L190" s="9"/>
      <c r="M190" s="9"/>
      <c r="N190" s="9"/>
      <c r="O190" s="9"/>
      <c r="P190" s="9"/>
    </row>
    <row r="191" ht="30.0" customHeight="1">
      <c r="A191" s="4" t="s">
        <v>353</v>
      </c>
      <c r="B191" s="5" t="s">
        <v>354</v>
      </c>
      <c r="C191" s="6">
        <v>8234.82</v>
      </c>
      <c r="D191" s="7" t="str">
        <f>HYPERLINK("http://www.usrc.it/AppRendiConta/det_198_20160505.pdf","Determina nr. 198 del 05/05/2016")</f>
        <v>Determina nr. 198 del 05/05/2016</v>
      </c>
      <c r="E191" s="5" t="s">
        <v>355</v>
      </c>
      <c r="F191" s="8" t="s">
        <v>12</v>
      </c>
      <c r="G191" s="8" t="s">
        <v>67</v>
      </c>
      <c r="H191" s="9"/>
      <c r="I191" s="9"/>
      <c r="J191" s="9"/>
      <c r="K191" s="9"/>
      <c r="L191" s="9"/>
      <c r="M191" s="9"/>
      <c r="N191" s="9"/>
      <c r="O191" s="9"/>
      <c r="P191" s="9"/>
    </row>
    <row r="192" ht="30.0" customHeight="1">
      <c r="A192" s="4" t="s">
        <v>151</v>
      </c>
      <c r="B192" s="5" t="s">
        <v>152</v>
      </c>
      <c r="C192" s="6">
        <v>20000.0</v>
      </c>
      <c r="D192" s="7" t="str">
        <f>HYPERLINK("http://www.usrc.it/AppRendiConta/det_200_20160506.pdf","Determina nr. 200 del 06/05/2016")</f>
        <v>Determina nr. 200 del 06/05/2016</v>
      </c>
      <c r="E192" s="5" t="s">
        <v>356</v>
      </c>
      <c r="F192" s="8" t="s">
        <v>12</v>
      </c>
      <c r="G192" s="8" t="s">
        <v>67</v>
      </c>
      <c r="H192" s="9"/>
      <c r="I192" s="9"/>
      <c r="J192" s="9"/>
      <c r="K192" s="9"/>
      <c r="L192" s="9"/>
      <c r="M192" s="9"/>
      <c r="N192" s="9"/>
      <c r="O192" s="9"/>
      <c r="P192" s="9"/>
    </row>
    <row r="193" ht="30.0" customHeight="1">
      <c r="A193" s="4" t="s">
        <v>357</v>
      </c>
      <c r="B193" s="14" t="s">
        <v>358</v>
      </c>
      <c r="C193" s="6">
        <v>90656.95</v>
      </c>
      <c r="D193" s="7" t="str">
        <f>HYPERLINK("http://www.usrc.it/AppRendiConta/det_202_20160506.pdf","Determina nr. 202 del 06/05/2016")</f>
        <v>Determina nr. 202 del 06/05/2016</v>
      </c>
      <c r="E193" s="5" t="s">
        <v>359</v>
      </c>
      <c r="F193" s="8" t="s">
        <v>12</v>
      </c>
      <c r="G193" s="8" t="s">
        <v>85</v>
      </c>
      <c r="H193" s="9"/>
      <c r="I193" s="9"/>
      <c r="J193" s="9"/>
      <c r="K193" s="9"/>
      <c r="L193" s="9"/>
      <c r="M193" s="9"/>
      <c r="N193" s="9"/>
      <c r="O193" s="9"/>
      <c r="P193" s="9"/>
    </row>
    <row r="194" ht="30.0" customHeight="1">
      <c r="A194" s="4" t="s">
        <v>216</v>
      </c>
      <c r="B194" s="13" t="s">
        <v>217</v>
      </c>
      <c r="C194" s="6">
        <v>508800.28</v>
      </c>
      <c r="D194" s="7" t="str">
        <f>HYPERLINK("http://www.usrc.it/AppRendiConta/det_204_20160509.pdf","Determina nr. 204 del 09/05/2016")</f>
        <v>Determina nr. 204 del 09/05/2016</v>
      </c>
      <c r="E194" s="5" t="s">
        <v>360</v>
      </c>
      <c r="F194" s="8" t="s">
        <v>12</v>
      </c>
      <c r="G194" s="8" t="s">
        <v>79</v>
      </c>
      <c r="H194" s="9"/>
      <c r="I194" s="9"/>
      <c r="J194" s="9"/>
      <c r="K194" s="9"/>
      <c r="L194" s="9"/>
      <c r="M194" s="9"/>
      <c r="N194" s="9"/>
      <c r="O194" s="9"/>
      <c r="P194" s="9"/>
    </row>
    <row r="195" ht="30.0" customHeight="1">
      <c r="A195" s="4" t="s">
        <v>361</v>
      </c>
      <c r="B195" s="14" t="s">
        <v>362</v>
      </c>
      <c r="C195" s="6">
        <v>289644.9</v>
      </c>
      <c r="D195" s="7" t="str">
        <f>HYPERLINK("http://www.usrc.it/AppRendiConta/det_206_20160511.pdf","Determina nr. 206 del 11/05/2016")</f>
        <v>Determina nr. 206 del 11/05/2016</v>
      </c>
      <c r="E195" s="8" t="s">
        <v>363</v>
      </c>
      <c r="F195" s="8" t="s">
        <v>12</v>
      </c>
      <c r="G195" s="8" t="s">
        <v>85</v>
      </c>
      <c r="H195" s="9"/>
      <c r="I195" s="9"/>
      <c r="J195" s="9"/>
      <c r="K195" s="9"/>
      <c r="L195" s="9"/>
      <c r="M195" s="9"/>
      <c r="N195" s="9"/>
      <c r="O195" s="9"/>
      <c r="P195" s="9"/>
    </row>
    <row r="196" ht="30.0" customHeight="1">
      <c r="A196" s="4" t="s">
        <v>364</v>
      </c>
      <c r="B196" s="14" t="s">
        <v>365</v>
      </c>
      <c r="C196" s="6">
        <v>531694.54</v>
      </c>
      <c r="D196" s="7" t="str">
        <f>HYPERLINK("http://www.usrc.it/AppRendiConta/det_207_20160511.pdf","Determina nr. 207 del 11/05/2016")</f>
        <v>Determina nr. 207 del 11/05/2016</v>
      </c>
      <c r="E196" s="5" t="s">
        <v>366</v>
      </c>
      <c r="F196" s="8" t="s">
        <v>12</v>
      </c>
      <c r="G196" s="8" t="s">
        <v>85</v>
      </c>
      <c r="H196" s="9"/>
      <c r="I196" s="9"/>
      <c r="J196" s="9"/>
      <c r="K196" s="9"/>
      <c r="L196" s="9"/>
      <c r="M196" s="9"/>
      <c r="N196" s="9"/>
      <c r="O196" s="9"/>
      <c r="P196" s="9"/>
    </row>
    <row r="197" ht="30.0" customHeight="1">
      <c r="A197" s="4" t="s">
        <v>14</v>
      </c>
      <c r="B197" s="14" t="s">
        <v>15</v>
      </c>
      <c r="C197" s="6">
        <v>69178.67</v>
      </c>
      <c r="D197" s="7" t="str">
        <f>HYPERLINK("http://www.usrc.it/AppRendiConta/det_210_20160511.pdf","Determina nr. 210 del 11/05/2016")</f>
        <v>Determina nr. 210 del 11/05/2016</v>
      </c>
      <c r="E197" s="5" t="s">
        <v>367</v>
      </c>
      <c r="F197" s="8" t="s">
        <v>12</v>
      </c>
      <c r="G197" s="8" t="s">
        <v>67</v>
      </c>
      <c r="H197" s="9"/>
      <c r="I197" s="9"/>
      <c r="J197" s="9"/>
      <c r="K197" s="9"/>
      <c r="L197" s="9"/>
      <c r="M197" s="9"/>
      <c r="N197" s="9"/>
      <c r="O197" s="9"/>
      <c r="P197" s="9"/>
    </row>
    <row r="198" ht="30.0" customHeight="1">
      <c r="A198" s="4" t="s">
        <v>368</v>
      </c>
      <c r="B198" s="14" t="s">
        <v>214</v>
      </c>
      <c r="C198" s="6">
        <v>64267.2</v>
      </c>
      <c r="D198" s="7" t="str">
        <f>HYPERLINK("http://www.usrc.it/AppRendiConta/det_211_20160511.pdf","Determina nr. 211 del 11/05/2016")</f>
        <v>Determina nr. 211 del 11/05/2016</v>
      </c>
      <c r="E198" s="5" t="s">
        <v>369</v>
      </c>
      <c r="F198" s="8" t="s">
        <v>12</v>
      </c>
      <c r="G198" s="8" t="s">
        <v>67</v>
      </c>
      <c r="H198" s="9"/>
      <c r="I198" s="9"/>
      <c r="J198" s="9"/>
      <c r="K198" s="9"/>
      <c r="L198" s="9"/>
      <c r="M198" s="9"/>
      <c r="N198" s="9"/>
      <c r="O198" s="9"/>
      <c r="P198" s="9"/>
    </row>
    <row r="199" ht="30.0" customHeight="1">
      <c r="A199" s="4" t="s">
        <v>126</v>
      </c>
      <c r="B199" s="13" t="s">
        <v>127</v>
      </c>
      <c r="C199" s="6">
        <v>71675.35</v>
      </c>
      <c r="D199" s="7" t="str">
        <f>HYPERLINK("http://www.usrc.it/AppRendiConta/det_215_20160512.pdf","Determina nr. 215 del 12/05/2016")</f>
        <v>Determina nr. 215 del 12/05/2016</v>
      </c>
      <c r="E199" s="5" t="s">
        <v>370</v>
      </c>
      <c r="F199" s="8" t="s">
        <v>12</v>
      </c>
      <c r="G199" s="8" t="s">
        <v>371</v>
      </c>
      <c r="H199" s="9"/>
      <c r="I199" s="9"/>
      <c r="J199" s="9"/>
      <c r="K199" s="9"/>
      <c r="L199" s="9"/>
      <c r="M199" s="9"/>
      <c r="N199" s="9"/>
      <c r="O199" s="9"/>
      <c r="P199" s="9"/>
    </row>
    <row r="200" ht="30.0" customHeight="1">
      <c r="A200" s="4" t="s">
        <v>126</v>
      </c>
      <c r="B200" s="14" t="s">
        <v>127</v>
      </c>
      <c r="C200" s="6">
        <v>43728.22</v>
      </c>
      <c r="D200" s="7" t="str">
        <f>HYPERLINK("http://www.usrc.it/AppRendiConta/det_216_20160512.pdf","Determina nr. 216 del 12/05/2016")</f>
        <v>Determina nr. 216 del 12/05/2016</v>
      </c>
      <c r="E200" s="5" t="s">
        <v>372</v>
      </c>
      <c r="F200" s="8" t="s">
        <v>12</v>
      </c>
      <c r="G200" s="8" t="s">
        <v>371</v>
      </c>
      <c r="H200" s="9"/>
      <c r="I200" s="9"/>
      <c r="J200" s="9"/>
      <c r="K200" s="9"/>
      <c r="L200" s="9"/>
      <c r="M200" s="9"/>
      <c r="N200" s="9"/>
      <c r="O200" s="9"/>
      <c r="P200" s="9"/>
    </row>
    <row r="201" ht="30.0" customHeight="1">
      <c r="A201" s="4" t="s">
        <v>17</v>
      </c>
      <c r="B201" s="14" t="s">
        <v>18</v>
      </c>
      <c r="C201" s="6">
        <v>67845.14</v>
      </c>
      <c r="D201" s="7" t="str">
        <f>HYPERLINK("http://www.usrc.it/AppRendiConta/det_217_20160512.pdf","Determina nr. 217 del 12/05/2016")</f>
        <v>Determina nr. 217 del 12/05/2016</v>
      </c>
      <c r="E201" s="8" t="s">
        <v>373</v>
      </c>
      <c r="F201" s="8" t="s">
        <v>12</v>
      </c>
      <c r="G201" s="8" t="s">
        <v>67</v>
      </c>
      <c r="H201" s="9"/>
      <c r="I201" s="9"/>
      <c r="J201" s="9"/>
      <c r="K201" s="9"/>
      <c r="L201" s="9"/>
      <c r="M201" s="9"/>
      <c r="N201" s="9"/>
      <c r="O201" s="9"/>
      <c r="P201" s="9"/>
    </row>
    <row r="202" ht="30.0" customHeight="1">
      <c r="A202" s="4" t="s">
        <v>374</v>
      </c>
      <c r="B202" s="14" t="s">
        <v>15</v>
      </c>
      <c r="C202" s="6">
        <v>25167.8</v>
      </c>
      <c r="D202" s="7" t="str">
        <f>HYPERLINK("http://www.usrc.it/AppRendiConta/det_218_20160512.pdf","Determina nr. 218 del 12/05/2016")</f>
        <v>Determina nr. 218 del 12/05/2016</v>
      </c>
      <c r="E202" s="8" t="s">
        <v>375</v>
      </c>
      <c r="F202" s="8" t="s">
        <v>12</v>
      </c>
      <c r="G202" s="8" t="s">
        <v>67</v>
      </c>
      <c r="H202" s="9"/>
      <c r="I202" s="9"/>
      <c r="J202" s="9"/>
      <c r="K202" s="9"/>
      <c r="L202" s="9"/>
      <c r="M202" s="9"/>
      <c r="N202" s="9"/>
      <c r="O202" s="9"/>
      <c r="P202" s="9"/>
    </row>
    <row r="203" ht="30.0" customHeight="1">
      <c r="A203" s="4" t="s">
        <v>205</v>
      </c>
      <c r="B203" s="13" t="s">
        <v>206</v>
      </c>
      <c r="C203" s="6">
        <v>27040.0</v>
      </c>
      <c r="D203" s="7" t="str">
        <f>HYPERLINK("http://www.usrc.it/AppRendiConta/det_219_20160516.pdf","Determina nr. 219 del 16/05/2016")</f>
        <v>Determina nr. 219 del 16/05/2016</v>
      </c>
      <c r="E203" s="8" t="s">
        <v>376</v>
      </c>
      <c r="F203" s="8" t="s">
        <v>12</v>
      </c>
      <c r="G203" s="8" t="s">
        <v>67</v>
      </c>
      <c r="H203" s="9"/>
      <c r="I203" s="9"/>
      <c r="J203" s="9"/>
      <c r="K203" s="9"/>
      <c r="L203" s="9"/>
      <c r="M203" s="9"/>
      <c r="N203" s="9"/>
      <c r="O203" s="9"/>
      <c r="P203" s="9"/>
    </row>
    <row r="204" ht="30.0" customHeight="1">
      <c r="A204" s="4" t="s">
        <v>377</v>
      </c>
      <c r="B204" s="14" t="s">
        <v>378</v>
      </c>
      <c r="C204" s="6">
        <v>4820.2</v>
      </c>
      <c r="D204" s="7" t="str">
        <f>HYPERLINK("http://www.usrc.it/AppRendiConta/det_220_20160516.pdf","Determina nr. 220 del 16/05/2016")</f>
        <v>Determina nr. 220 del 16/05/2016</v>
      </c>
      <c r="E204" s="5" t="s">
        <v>379</v>
      </c>
      <c r="F204" s="8" t="s">
        <v>12</v>
      </c>
      <c r="G204" s="8" t="s">
        <v>371</v>
      </c>
      <c r="H204" s="9"/>
      <c r="I204" s="9"/>
      <c r="J204" s="9"/>
      <c r="K204" s="9"/>
      <c r="L204" s="9"/>
      <c r="M204" s="9"/>
      <c r="N204" s="9"/>
      <c r="O204" s="9"/>
      <c r="P204" s="9"/>
    </row>
    <row r="205" ht="30.0" customHeight="1">
      <c r="A205" s="4" t="s">
        <v>380</v>
      </c>
      <c r="B205" s="14" t="s">
        <v>381</v>
      </c>
      <c r="C205" s="6">
        <v>3484601.73</v>
      </c>
      <c r="D205" s="7" t="str">
        <f>HYPERLINK("http://www.usrc.it/AppRendiConta/det_225_20160516.pdf","Determina nr. 225 del 16/05/2016")</f>
        <v>Determina nr. 225 del 16/05/2016</v>
      </c>
      <c r="E205" s="5" t="s">
        <v>382</v>
      </c>
      <c r="F205" s="8" t="s">
        <v>12</v>
      </c>
      <c r="G205" s="8" t="s">
        <v>79</v>
      </c>
      <c r="H205" s="9"/>
      <c r="I205" s="9"/>
      <c r="J205" s="9"/>
      <c r="K205" s="9"/>
      <c r="L205" s="9"/>
      <c r="M205" s="9"/>
      <c r="N205" s="9"/>
      <c r="O205" s="9"/>
      <c r="P205" s="9"/>
    </row>
    <row r="206" ht="30.0" customHeight="1">
      <c r="A206" s="4" t="s">
        <v>357</v>
      </c>
      <c r="B206" s="14" t="s">
        <v>358</v>
      </c>
      <c r="C206" s="6">
        <v>106667.69</v>
      </c>
      <c r="D206" s="7" t="str">
        <f>HYPERLINK("http://www.usrc.it/AppRendiConta/det_227_20160516.pdf","Determina nr. 227 del 16/05/2016")</f>
        <v>Determina nr. 227 del 16/05/2016</v>
      </c>
      <c r="E206" s="5" t="s">
        <v>383</v>
      </c>
      <c r="F206" s="8" t="s">
        <v>12</v>
      </c>
      <c r="G206" s="8" t="s">
        <v>384</v>
      </c>
      <c r="H206" s="9"/>
      <c r="I206" s="9"/>
      <c r="J206" s="9"/>
      <c r="K206" s="9"/>
      <c r="L206" s="9"/>
      <c r="M206" s="9"/>
      <c r="N206" s="9"/>
      <c r="O206" s="9"/>
      <c r="P206" s="9"/>
    </row>
    <row r="207" ht="30.0" customHeight="1">
      <c r="A207" s="4" t="s">
        <v>353</v>
      </c>
      <c r="B207" s="14" t="s">
        <v>354</v>
      </c>
      <c r="C207" s="6">
        <v>357341.49</v>
      </c>
      <c r="D207" s="7" t="str">
        <f>HYPERLINK("http://www.usrc.it/AppRendiConta/det_228_20160518.pdf","Determina nr. 228 del 18/05/2016")</f>
        <v>Determina nr. 228 del 18/05/2016</v>
      </c>
      <c r="E207" s="5" t="s">
        <v>385</v>
      </c>
      <c r="F207" s="8" t="s">
        <v>12</v>
      </c>
      <c r="G207" s="8" t="s">
        <v>67</v>
      </c>
      <c r="H207" s="9"/>
      <c r="I207" s="9"/>
      <c r="J207" s="9"/>
      <c r="K207" s="9"/>
      <c r="L207" s="9"/>
      <c r="M207" s="9"/>
      <c r="N207" s="9"/>
      <c r="O207" s="9"/>
      <c r="P207" s="9"/>
    </row>
    <row r="208" ht="30.0" customHeight="1">
      <c r="A208" s="4" t="s">
        <v>386</v>
      </c>
      <c r="B208" s="14" t="s">
        <v>387</v>
      </c>
      <c r="C208" s="6">
        <v>51832.38</v>
      </c>
      <c r="D208" s="7" t="str">
        <f>HYPERLINK("http://www.usrc.it/AppRendiConta/det_231_20160519.pdf","Determina nr. 231 del 19/05/2016")</f>
        <v>Determina nr. 231 del 19/05/2016</v>
      </c>
      <c r="E208" s="5" t="s">
        <v>388</v>
      </c>
      <c r="F208" s="8" t="s">
        <v>12</v>
      </c>
      <c r="G208" s="8" t="s">
        <v>85</v>
      </c>
      <c r="H208" s="9"/>
      <c r="I208" s="9"/>
      <c r="J208" s="9"/>
      <c r="K208" s="9"/>
      <c r="L208" s="9"/>
      <c r="M208" s="9"/>
      <c r="N208" s="9"/>
      <c r="O208" s="9"/>
      <c r="P208" s="9"/>
    </row>
    <row r="209" ht="30.0" customHeight="1">
      <c r="A209" s="4" t="s">
        <v>389</v>
      </c>
      <c r="B209" s="14" t="s">
        <v>390</v>
      </c>
      <c r="C209" s="6">
        <v>153678.46</v>
      </c>
      <c r="D209" s="7" t="str">
        <f>HYPERLINK("http://www.usrc.it/AppRendiConta/det_232_20160519.pdf","Determina nr. 232 del 19/05/2016")</f>
        <v>Determina nr. 232 del 19/05/2016</v>
      </c>
      <c r="E209" s="5" t="s">
        <v>391</v>
      </c>
      <c r="F209" s="8" t="s">
        <v>12</v>
      </c>
      <c r="G209" s="8" t="s">
        <v>85</v>
      </c>
      <c r="H209" s="9"/>
      <c r="I209" s="9"/>
      <c r="J209" s="9"/>
      <c r="K209" s="9"/>
      <c r="L209" s="9"/>
      <c r="M209" s="9"/>
      <c r="N209" s="9"/>
      <c r="O209" s="9"/>
      <c r="P209" s="9"/>
    </row>
    <row r="210" ht="30.0" customHeight="1">
      <c r="A210" s="4" t="s">
        <v>392</v>
      </c>
      <c r="B210" s="13" t="s">
        <v>393</v>
      </c>
      <c r="C210" s="6">
        <v>1080.0</v>
      </c>
      <c r="D210" s="7" t="str">
        <f t="shared" ref="D210:D267" si="14">HYPERLINK("http://www.usrc.it/AppRendiConta/det_233_20160520.pdf","Determina  nr. 233 del 20/05/2016")</f>
        <v>Determina  nr. 233 del 20/05/2016</v>
      </c>
      <c r="E210" s="5" t="s">
        <v>394</v>
      </c>
      <c r="F210" s="8" t="s">
        <v>12</v>
      </c>
      <c r="G210" s="8" t="s">
        <v>395</v>
      </c>
      <c r="H210" s="9"/>
      <c r="I210" s="9"/>
      <c r="J210" s="9"/>
      <c r="K210" s="9"/>
      <c r="L210" s="9"/>
      <c r="M210" s="9"/>
      <c r="N210" s="9"/>
      <c r="O210" s="9"/>
      <c r="P210" s="9"/>
    </row>
    <row r="211" ht="30.0" customHeight="1">
      <c r="A211" s="4" t="s">
        <v>392</v>
      </c>
      <c r="B211" s="14" t="s">
        <v>393</v>
      </c>
      <c r="C211" s="6">
        <v>366.0</v>
      </c>
      <c r="D211" s="7" t="str">
        <f t="shared" si="14"/>
        <v>Determina  nr. 233 del 20/05/2016</v>
      </c>
      <c r="E211" s="5" t="s">
        <v>396</v>
      </c>
      <c r="F211" s="8" t="s">
        <v>12</v>
      </c>
      <c r="G211" s="8" t="s">
        <v>395</v>
      </c>
      <c r="H211" s="9"/>
      <c r="I211" s="9"/>
      <c r="J211" s="9"/>
      <c r="K211" s="9"/>
      <c r="L211" s="9"/>
      <c r="M211" s="9"/>
      <c r="N211" s="9"/>
      <c r="O211" s="9"/>
      <c r="P211" s="9"/>
    </row>
    <row r="212" ht="30.0" customHeight="1">
      <c r="A212" s="4" t="s">
        <v>392</v>
      </c>
      <c r="B212" s="14" t="s">
        <v>393</v>
      </c>
      <c r="C212" s="6">
        <v>363.0</v>
      </c>
      <c r="D212" s="7" t="str">
        <f t="shared" si="14"/>
        <v>Determina  nr. 233 del 20/05/2016</v>
      </c>
      <c r="E212" s="5" t="s">
        <v>397</v>
      </c>
      <c r="F212" s="8" t="s">
        <v>12</v>
      </c>
      <c r="G212" s="8" t="s">
        <v>395</v>
      </c>
      <c r="H212" s="9"/>
      <c r="I212" s="9"/>
      <c r="J212" s="9"/>
      <c r="K212" s="9"/>
      <c r="L212" s="9"/>
      <c r="M212" s="9"/>
      <c r="N212" s="9"/>
      <c r="O212" s="9"/>
      <c r="P212" s="9"/>
    </row>
    <row r="213" ht="30.0" customHeight="1">
      <c r="A213" s="4" t="s">
        <v>392</v>
      </c>
      <c r="B213" s="14" t="s">
        <v>393</v>
      </c>
      <c r="C213" s="6">
        <v>3146.0</v>
      </c>
      <c r="D213" s="7" t="str">
        <f t="shared" si="14"/>
        <v>Determina  nr. 233 del 20/05/2016</v>
      </c>
      <c r="E213" s="5" t="s">
        <v>398</v>
      </c>
      <c r="F213" s="8" t="s">
        <v>12</v>
      </c>
      <c r="G213" s="8" t="s">
        <v>395</v>
      </c>
      <c r="H213" s="9"/>
      <c r="I213" s="9"/>
      <c r="J213" s="9"/>
      <c r="K213" s="9"/>
      <c r="L213" s="9"/>
      <c r="M213" s="9"/>
      <c r="N213" s="9"/>
      <c r="O213" s="9"/>
      <c r="P213" s="9"/>
    </row>
    <row r="214" ht="30.0" customHeight="1">
      <c r="A214" s="4" t="s">
        <v>392</v>
      </c>
      <c r="B214" s="14" t="s">
        <v>393</v>
      </c>
      <c r="C214" s="6">
        <v>2420.0</v>
      </c>
      <c r="D214" s="7" t="str">
        <f t="shared" si="14"/>
        <v>Determina  nr. 233 del 20/05/2016</v>
      </c>
      <c r="E214" s="5" t="s">
        <v>399</v>
      </c>
      <c r="F214" s="8" t="s">
        <v>12</v>
      </c>
      <c r="G214" s="8" t="s">
        <v>395</v>
      </c>
      <c r="H214" s="9"/>
      <c r="I214" s="9"/>
      <c r="J214" s="9"/>
      <c r="K214" s="9"/>
      <c r="L214" s="9"/>
      <c r="M214" s="9"/>
      <c r="N214" s="9"/>
      <c r="O214" s="9"/>
      <c r="P214" s="9"/>
    </row>
    <row r="215" ht="30.0" customHeight="1">
      <c r="A215" s="4" t="s">
        <v>392</v>
      </c>
      <c r="B215" s="14" t="s">
        <v>393</v>
      </c>
      <c r="C215" s="6">
        <v>363.0</v>
      </c>
      <c r="D215" s="7" t="str">
        <f t="shared" si="14"/>
        <v>Determina  nr. 233 del 20/05/2016</v>
      </c>
      <c r="E215" s="5" t="s">
        <v>400</v>
      </c>
      <c r="F215" s="8" t="s">
        <v>12</v>
      </c>
      <c r="G215" s="8" t="s">
        <v>395</v>
      </c>
      <c r="H215" s="9"/>
      <c r="I215" s="9"/>
      <c r="J215" s="9"/>
      <c r="K215" s="9"/>
      <c r="L215" s="9"/>
      <c r="M215" s="9"/>
      <c r="N215" s="9"/>
      <c r="O215" s="9"/>
      <c r="P215" s="9"/>
    </row>
    <row r="216" ht="30.0" customHeight="1">
      <c r="A216" s="4" t="s">
        <v>392</v>
      </c>
      <c r="B216" s="14" t="s">
        <v>393</v>
      </c>
      <c r="C216" s="6">
        <v>1440.0</v>
      </c>
      <c r="D216" s="7" t="str">
        <f t="shared" si="14"/>
        <v>Determina  nr. 233 del 20/05/2016</v>
      </c>
      <c r="E216" s="5" t="s">
        <v>401</v>
      </c>
      <c r="F216" s="8" t="s">
        <v>12</v>
      </c>
      <c r="G216" s="8" t="s">
        <v>395</v>
      </c>
      <c r="H216" s="9"/>
      <c r="I216" s="9"/>
      <c r="J216" s="9"/>
      <c r="K216" s="9"/>
      <c r="L216" s="9"/>
      <c r="M216" s="9"/>
      <c r="N216" s="9"/>
      <c r="O216" s="9"/>
      <c r="P216" s="9"/>
    </row>
    <row r="217" ht="30.0" customHeight="1">
      <c r="A217" s="4" t="s">
        <v>392</v>
      </c>
      <c r="B217" s="14" t="s">
        <v>393</v>
      </c>
      <c r="C217" s="6">
        <v>1080.0</v>
      </c>
      <c r="D217" s="7" t="str">
        <f t="shared" si="14"/>
        <v>Determina  nr. 233 del 20/05/2016</v>
      </c>
      <c r="E217" s="5" t="s">
        <v>402</v>
      </c>
      <c r="F217" s="8" t="s">
        <v>12</v>
      </c>
      <c r="G217" s="8" t="s">
        <v>395</v>
      </c>
      <c r="H217" s="9"/>
      <c r="I217" s="9"/>
      <c r="J217" s="9"/>
      <c r="K217" s="9"/>
      <c r="L217" s="9"/>
      <c r="M217" s="9"/>
      <c r="N217" s="9"/>
      <c r="O217" s="9"/>
      <c r="P217" s="9"/>
    </row>
    <row r="218" ht="30.0" customHeight="1">
      <c r="A218" s="4" t="s">
        <v>392</v>
      </c>
      <c r="B218" s="14" t="s">
        <v>393</v>
      </c>
      <c r="C218" s="6">
        <v>1089.0</v>
      </c>
      <c r="D218" s="7" t="str">
        <f t="shared" si="14"/>
        <v>Determina  nr. 233 del 20/05/2016</v>
      </c>
      <c r="E218" s="5" t="s">
        <v>403</v>
      </c>
      <c r="F218" s="8" t="s">
        <v>12</v>
      </c>
      <c r="G218" s="8" t="s">
        <v>395</v>
      </c>
      <c r="H218" s="9"/>
      <c r="I218" s="9"/>
      <c r="J218" s="9"/>
      <c r="K218" s="9"/>
      <c r="L218" s="9"/>
      <c r="M218" s="9"/>
      <c r="N218" s="9"/>
      <c r="O218" s="9"/>
      <c r="P218" s="9"/>
    </row>
    <row r="219" ht="30.0" customHeight="1">
      <c r="A219" s="4" t="s">
        <v>392</v>
      </c>
      <c r="B219" s="14" t="s">
        <v>393</v>
      </c>
      <c r="C219" s="6">
        <v>3720.0</v>
      </c>
      <c r="D219" s="7" t="str">
        <f t="shared" si="14"/>
        <v>Determina  nr. 233 del 20/05/2016</v>
      </c>
      <c r="E219" s="5" t="s">
        <v>404</v>
      </c>
      <c r="F219" s="8" t="s">
        <v>12</v>
      </c>
      <c r="G219" s="8" t="s">
        <v>395</v>
      </c>
      <c r="H219" s="9"/>
      <c r="I219" s="9"/>
      <c r="J219" s="9"/>
      <c r="K219" s="9"/>
      <c r="L219" s="9"/>
      <c r="M219" s="9"/>
      <c r="N219" s="9"/>
      <c r="O219" s="9"/>
      <c r="P219" s="9"/>
    </row>
    <row r="220" ht="30.0" customHeight="1">
      <c r="A220" s="4" t="s">
        <v>392</v>
      </c>
      <c r="B220" s="14" t="s">
        <v>393</v>
      </c>
      <c r="C220" s="6">
        <v>1220.0</v>
      </c>
      <c r="D220" s="7" t="str">
        <f t="shared" si="14"/>
        <v>Determina  nr. 233 del 20/05/2016</v>
      </c>
      <c r="E220" s="5" t="s">
        <v>405</v>
      </c>
      <c r="F220" s="8" t="s">
        <v>12</v>
      </c>
      <c r="G220" s="8" t="s">
        <v>395</v>
      </c>
      <c r="H220" s="9"/>
      <c r="I220" s="9"/>
      <c r="J220" s="9"/>
      <c r="K220" s="9"/>
      <c r="L220" s="9"/>
      <c r="M220" s="9"/>
      <c r="N220" s="9"/>
      <c r="O220" s="9"/>
      <c r="P220" s="9"/>
    </row>
    <row r="221" ht="30.0" customHeight="1">
      <c r="A221" s="4" t="s">
        <v>392</v>
      </c>
      <c r="B221" s="14" t="s">
        <v>393</v>
      </c>
      <c r="C221" s="6">
        <v>366.0</v>
      </c>
      <c r="D221" s="7" t="str">
        <f t="shared" si="14"/>
        <v>Determina  nr. 233 del 20/05/2016</v>
      </c>
      <c r="E221" s="5" t="s">
        <v>406</v>
      </c>
      <c r="F221" s="8" t="s">
        <v>12</v>
      </c>
      <c r="G221" s="8" t="s">
        <v>395</v>
      </c>
      <c r="H221" s="9"/>
      <c r="I221" s="9"/>
      <c r="J221" s="9"/>
      <c r="K221" s="9"/>
      <c r="L221" s="9"/>
      <c r="M221" s="9"/>
      <c r="N221" s="9"/>
      <c r="O221" s="9"/>
      <c r="P221" s="9"/>
    </row>
    <row r="222" ht="30.0" customHeight="1">
      <c r="A222" s="4" t="s">
        <v>392</v>
      </c>
      <c r="B222" s="14" t="s">
        <v>393</v>
      </c>
      <c r="C222" s="6">
        <v>1210.0</v>
      </c>
      <c r="D222" s="7" t="str">
        <f t="shared" si="14"/>
        <v>Determina  nr. 233 del 20/05/2016</v>
      </c>
      <c r="E222" s="5" t="s">
        <v>407</v>
      </c>
      <c r="F222" s="8" t="s">
        <v>12</v>
      </c>
      <c r="G222" s="8" t="s">
        <v>395</v>
      </c>
      <c r="H222" s="9"/>
      <c r="I222" s="9"/>
      <c r="J222" s="9"/>
      <c r="K222" s="9"/>
      <c r="L222" s="9"/>
      <c r="M222" s="9"/>
      <c r="N222" s="9"/>
      <c r="O222" s="9"/>
      <c r="P222" s="9"/>
    </row>
    <row r="223" ht="30.0" customHeight="1">
      <c r="A223" s="4" t="s">
        <v>392</v>
      </c>
      <c r="B223" s="14" t="s">
        <v>393</v>
      </c>
      <c r="C223" s="6">
        <v>1586.0</v>
      </c>
      <c r="D223" s="7" t="str">
        <f t="shared" si="14"/>
        <v>Determina  nr. 233 del 20/05/2016</v>
      </c>
      <c r="E223" s="5" t="s">
        <v>408</v>
      </c>
      <c r="F223" s="8" t="s">
        <v>12</v>
      </c>
      <c r="G223" s="8" t="s">
        <v>395</v>
      </c>
      <c r="H223" s="9"/>
      <c r="I223" s="9"/>
      <c r="J223" s="9"/>
      <c r="K223" s="9"/>
      <c r="L223" s="9"/>
      <c r="M223" s="9"/>
      <c r="N223" s="9"/>
      <c r="O223" s="9"/>
      <c r="P223" s="9"/>
    </row>
    <row r="224" ht="30.0" customHeight="1">
      <c r="A224" s="4" t="s">
        <v>392</v>
      </c>
      <c r="B224" s="14" t="s">
        <v>393</v>
      </c>
      <c r="C224" s="6">
        <v>1089.0</v>
      </c>
      <c r="D224" s="7" t="str">
        <f t="shared" si="14"/>
        <v>Determina  nr. 233 del 20/05/2016</v>
      </c>
      <c r="E224" s="5" t="s">
        <v>409</v>
      </c>
      <c r="F224" s="8" t="s">
        <v>12</v>
      </c>
      <c r="G224" s="8" t="s">
        <v>395</v>
      </c>
      <c r="H224" s="9"/>
      <c r="I224" s="9"/>
      <c r="J224" s="9"/>
      <c r="K224" s="9"/>
      <c r="L224" s="9"/>
      <c r="M224" s="9"/>
      <c r="N224" s="9"/>
      <c r="O224" s="9"/>
      <c r="P224" s="9"/>
    </row>
    <row r="225" ht="30.0" customHeight="1">
      <c r="A225" s="4" t="s">
        <v>392</v>
      </c>
      <c r="B225" s="14" t="s">
        <v>393</v>
      </c>
      <c r="C225" s="6">
        <v>4880.0</v>
      </c>
      <c r="D225" s="7" t="str">
        <f t="shared" si="14"/>
        <v>Determina  nr. 233 del 20/05/2016</v>
      </c>
      <c r="E225" s="5" t="s">
        <v>410</v>
      </c>
      <c r="F225" s="8" t="s">
        <v>12</v>
      </c>
      <c r="G225" s="8" t="s">
        <v>395</v>
      </c>
      <c r="H225" s="9"/>
      <c r="I225" s="9"/>
      <c r="J225" s="9"/>
      <c r="K225" s="9"/>
      <c r="L225" s="9"/>
      <c r="M225" s="9"/>
      <c r="N225" s="9"/>
      <c r="O225" s="9"/>
      <c r="P225" s="9"/>
    </row>
    <row r="226" ht="30.0" customHeight="1">
      <c r="A226" s="4" t="s">
        <v>392</v>
      </c>
      <c r="B226" s="14" t="s">
        <v>393</v>
      </c>
      <c r="C226" s="6">
        <v>4840.0</v>
      </c>
      <c r="D226" s="7" t="str">
        <f t="shared" si="14"/>
        <v>Determina  nr. 233 del 20/05/2016</v>
      </c>
      <c r="E226" s="5" t="s">
        <v>411</v>
      </c>
      <c r="F226" s="8" t="s">
        <v>12</v>
      </c>
      <c r="G226" s="8" t="s">
        <v>395</v>
      </c>
      <c r="H226" s="9"/>
      <c r="I226" s="9"/>
      <c r="J226" s="9"/>
      <c r="K226" s="9"/>
      <c r="L226" s="9"/>
      <c r="M226" s="9"/>
      <c r="N226" s="9"/>
      <c r="O226" s="9"/>
      <c r="P226" s="9"/>
    </row>
    <row r="227" ht="30.0" customHeight="1">
      <c r="A227" s="4" t="s">
        <v>392</v>
      </c>
      <c r="B227" s="14" t="s">
        <v>393</v>
      </c>
      <c r="C227" s="6">
        <v>4719.0</v>
      </c>
      <c r="D227" s="7" t="str">
        <f t="shared" si="14"/>
        <v>Determina  nr. 233 del 20/05/2016</v>
      </c>
      <c r="E227" s="5" t="s">
        <v>412</v>
      </c>
      <c r="F227" s="8" t="s">
        <v>12</v>
      </c>
      <c r="G227" s="8" t="s">
        <v>395</v>
      </c>
      <c r="H227" s="9"/>
      <c r="I227" s="9"/>
      <c r="J227" s="9"/>
      <c r="K227" s="9"/>
      <c r="L227" s="9"/>
      <c r="M227" s="9"/>
      <c r="N227" s="9"/>
      <c r="O227" s="9"/>
      <c r="P227" s="9"/>
    </row>
    <row r="228" ht="30.0" customHeight="1">
      <c r="A228" s="4" t="s">
        <v>392</v>
      </c>
      <c r="B228" s="14" t="s">
        <v>393</v>
      </c>
      <c r="C228" s="6">
        <v>1573.0</v>
      </c>
      <c r="D228" s="7" t="str">
        <f t="shared" si="14"/>
        <v>Determina  nr. 233 del 20/05/2016</v>
      </c>
      <c r="E228" s="5" t="s">
        <v>413</v>
      </c>
      <c r="F228" s="8" t="s">
        <v>12</v>
      </c>
      <c r="G228" s="8" t="s">
        <v>395</v>
      </c>
      <c r="H228" s="9"/>
      <c r="I228" s="9"/>
      <c r="J228" s="9"/>
      <c r="K228" s="9"/>
      <c r="L228" s="9"/>
      <c r="M228" s="9"/>
      <c r="N228" s="9"/>
      <c r="O228" s="9"/>
      <c r="P228" s="9"/>
    </row>
    <row r="229" ht="30.0" customHeight="1">
      <c r="A229" s="4" t="s">
        <v>392</v>
      </c>
      <c r="B229" s="14" t="s">
        <v>393</v>
      </c>
      <c r="C229" s="6">
        <v>2541.0</v>
      </c>
      <c r="D229" s="7" t="str">
        <f t="shared" si="14"/>
        <v>Determina  nr. 233 del 20/05/2016</v>
      </c>
      <c r="E229" s="5" t="s">
        <v>414</v>
      </c>
      <c r="F229" s="8" t="s">
        <v>12</v>
      </c>
      <c r="G229" s="8" t="s">
        <v>395</v>
      </c>
      <c r="H229" s="9"/>
      <c r="I229" s="9"/>
      <c r="J229" s="9"/>
      <c r="K229" s="9"/>
      <c r="L229" s="9"/>
      <c r="M229" s="9"/>
      <c r="N229" s="9"/>
      <c r="O229" s="9"/>
      <c r="P229" s="9"/>
    </row>
    <row r="230" ht="30.0" customHeight="1">
      <c r="A230" s="4" t="s">
        <v>392</v>
      </c>
      <c r="B230" s="14" t="s">
        <v>393</v>
      </c>
      <c r="C230" s="6">
        <v>2904.0</v>
      </c>
      <c r="D230" s="7" t="str">
        <f t="shared" si="14"/>
        <v>Determina  nr. 233 del 20/05/2016</v>
      </c>
      <c r="E230" s="5" t="s">
        <v>415</v>
      </c>
      <c r="F230" s="8" t="s">
        <v>12</v>
      </c>
      <c r="G230" s="8" t="s">
        <v>395</v>
      </c>
      <c r="H230" s="9"/>
      <c r="I230" s="9"/>
      <c r="J230" s="9"/>
      <c r="K230" s="9"/>
      <c r="L230" s="9"/>
      <c r="M230" s="9"/>
      <c r="N230" s="9"/>
      <c r="O230" s="9"/>
      <c r="P230" s="9"/>
    </row>
    <row r="231" ht="30.0" customHeight="1">
      <c r="A231" s="4" t="s">
        <v>392</v>
      </c>
      <c r="B231" s="14" t="s">
        <v>393</v>
      </c>
      <c r="C231" s="6">
        <v>3630.0</v>
      </c>
      <c r="D231" s="7" t="str">
        <f t="shared" si="14"/>
        <v>Determina  nr. 233 del 20/05/2016</v>
      </c>
      <c r="E231" s="5" t="s">
        <v>416</v>
      </c>
      <c r="F231" s="8" t="s">
        <v>12</v>
      </c>
      <c r="G231" s="8" t="s">
        <v>395</v>
      </c>
      <c r="H231" s="9"/>
      <c r="I231" s="9"/>
      <c r="J231" s="9"/>
      <c r="K231" s="9"/>
      <c r="L231" s="9"/>
      <c r="M231" s="9"/>
      <c r="N231" s="9"/>
      <c r="O231" s="9"/>
      <c r="P231" s="9"/>
    </row>
    <row r="232" ht="30.0" customHeight="1">
      <c r="A232" s="4" t="s">
        <v>392</v>
      </c>
      <c r="B232" s="14" t="s">
        <v>393</v>
      </c>
      <c r="C232" s="6">
        <v>16104.0</v>
      </c>
      <c r="D232" s="7" t="str">
        <f t="shared" si="14"/>
        <v>Determina  nr. 233 del 20/05/2016</v>
      </c>
      <c r="E232" s="5" t="s">
        <v>417</v>
      </c>
      <c r="F232" s="8" t="s">
        <v>12</v>
      </c>
      <c r="G232" s="8" t="s">
        <v>395</v>
      </c>
      <c r="H232" s="9"/>
      <c r="I232" s="9"/>
      <c r="J232" s="9"/>
      <c r="K232" s="9"/>
      <c r="L232" s="9"/>
      <c r="M232" s="9"/>
      <c r="N232" s="9"/>
      <c r="O232" s="9"/>
      <c r="P232" s="9"/>
    </row>
    <row r="233" ht="30.0" customHeight="1">
      <c r="A233" s="4" t="s">
        <v>392</v>
      </c>
      <c r="B233" s="14" t="s">
        <v>393</v>
      </c>
      <c r="C233" s="6">
        <v>11495.0</v>
      </c>
      <c r="D233" s="7" t="str">
        <f t="shared" si="14"/>
        <v>Determina  nr. 233 del 20/05/2016</v>
      </c>
      <c r="E233" s="5" t="s">
        <v>418</v>
      </c>
      <c r="F233" s="8" t="s">
        <v>12</v>
      </c>
      <c r="G233" s="8" t="s">
        <v>395</v>
      </c>
      <c r="H233" s="9"/>
      <c r="I233" s="9"/>
      <c r="J233" s="9"/>
      <c r="K233" s="9"/>
      <c r="L233" s="9"/>
      <c r="M233" s="9"/>
      <c r="N233" s="9"/>
      <c r="O233" s="9"/>
      <c r="P233" s="9"/>
    </row>
    <row r="234" ht="30.0" customHeight="1">
      <c r="A234" s="4" t="s">
        <v>392</v>
      </c>
      <c r="B234" s="14" t="s">
        <v>393</v>
      </c>
      <c r="C234" s="6">
        <v>3146.0</v>
      </c>
      <c r="D234" s="7" t="str">
        <f t="shared" si="14"/>
        <v>Determina  nr. 233 del 20/05/2016</v>
      </c>
      <c r="E234" s="5" t="s">
        <v>419</v>
      </c>
      <c r="F234" s="8" t="s">
        <v>12</v>
      </c>
      <c r="G234" s="8" t="s">
        <v>395</v>
      </c>
      <c r="H234" s="9"/>
      <c r="I234" s="9"/>
      <c r="J234" s="9"/>
      <c r="K234" s="9"/>
      <c r="L234" s="9"/>
      <c r="M234" s="9"/>
      <c r="N234" s="9"/>
      <c r="O234" s="9"/>
      <c r="P234" s="9"/>
    </row>
    <row r="235" ht="30.0" customHeight="1">
      <c r="A235" s="4" t="s">
        <v>392</v>
      </c>
      <c r="B235" s="14" t="s">
        <v>393</v>
      </c>
      <c r="C235" s="6">
        <v>58080.0</v>
      </c>
      <c r="D235" s="7" t="str">
        <f t="shared" si="14"/>
        <v>Determina  nr. 233 del 20/05/2016</v>
      </c>
      <c r="E235" s="5" t="s">
        <v>420</v>
      </c>
      <c r="F235" s="8" t="s">
        <v>12</v>
      </c>
      <c r="G235" s="8" t="s">
        <v>395</v>
      </c>
      <c r="H235" s="9"/>
      <c r="I235" s="9"/>
      <c r="J235" s="9"/>
      <c r="K235" s="9"/>
      <c r="L235" s="9"/>
      <c r="M235" s="9"/>
      <c r="N235" s="9"/>
      <c r="O235" s="9"/>
      <c r="P235" s="9"/>
    </row>
    <row r="236" ht="30.0" customHeight="1">
      <c r="A236" s="4" t="s">
        <v>392</v>
      </c>
      <c r="B236" s="14" t="s">
        <v>393</v>
      </c>
      <c r="C236" s="6">
        <v>10440.0</v>
      </c>
      <c r="D236" s="7" t="str">
        <f t="shared" si="14"/>
        <v>Determina  nr. 233 del 20/05/2016</v>
      </c>
      <c r="E236" s="5" t="s">
        <v>421</v>
      </c>
      <c r="F236" s="8" t="s">
        <v>12</v>
      </c>
      <c r="G236" s="8" t="s">
        <v>395</v>
      </c>
      <c r="H236" s="9"/>
      <c r="I236" s="9"/>
      <c r="J236" s="9"/>
      <c r="K236" s="9"/>
      <c r="L236" s="9"/>
      <c r="M236" s="9"/>
      <c r="N236" s="9"/>
      <c r="O236" s="9"/>
      <c r="P236" s="9"/>
    </row>
    <row r="237" ht="30.0" customHeight="1">
      <c r="A237" s="4" t="s">
        <v>392</v>
      </c>
      <c r="B237" s="14" t="s">
        <v>393</v>
      </c>
      <c r="C237" s="6">
        <v>15246.0</v>
      </c>
      <c r="D237" s="7" t="str">
        <f t="shared" si="14"/>
        <v>Determina  nr. 233 del 20/05/2016</v>
      </c>
      <c r="E237" s="5" t="s">
        <v>422</v>
      </c>
      <c r="F237" s="8" t="s">
        <v>12</v>
      </c>
      <c r="G237" s="8" t="s">
        <v>395</v>
      </c>
      <c r="H237" s="9"/>
      <c r="I237" s="9"/>
      <c r="J237" s="9"/>
      <c r="K237" s="9"/>
      <c r="L237" s="9"/>
      <c r="M237" s="9"/>
      <c r="N237" s="9"/>
      <c r="O237" s="9"/>
      <c r="P237" s="9"/>
    </row>
    <row r="238" ht="30.0" customHeight="1">
      <c r="A238" s="4" t="s">
        <v>392</v>
      </c>
      <c r="B238" s="14" t="s">
        <v>393</v>
      </c>
      <c r="C238" s="6">
        <v>2684.0</v>
      </c>
      <c r="D238" s="7" t="str">
        <f t="shared" si="14"/>
        <v>Determina  nr. 233 del 20/05/2016</v>
      </c>
      <c r="E238" s="5" t="s">
        <v>423</v>
      </c>
      <c r="F238" s="8" t="s">
        <v>12</v>
      </c>
      <c r="G238" s="8" t="s">
        <v>395</v>
      </c>
      <c r="H238" s="9"/>
      <c r="I238" s="9"/>
      <c r="J238" s="9"/>
      <c r="K238" s="9"/>
      <c r="L238" s="9"/>
      <c r="M238" s="9"/>
      <c r="N238" s="9"/>
      <c r="O238" s="9"/>
      <c r="P238" s="9"/>
    </row>
    <row r="239" ht="30.0" customHeight="1">
      <c r="A239" s="4" t="s">
        <v>392</v>
      </c>
      <c r="B239" s="14" t="s">
        <v>393</v>
      </c>
      <c r="C239" s="6">
        <v>9480.0</v>
      </c>
      <c r="D239" s="7" t="str">
        <f t="shared" si="14"/>
        <v>Determina  nr. 233 del 20/05/2016</v>
      </c>
      <c r="E239" s="5" t="s">
        <v>424</v>
      </c>
      <c r="F239" s="8" t="s">
        <v>12</v>
      </c>
      <c r="G239" s="8" t="s">
        <v>395</v>
      </c>
      <c r="H239" s="9"/>
      <c r="I239" s="9"/>
      <c r="J239" s="9"/>
      <c r="K239" s="9"/>
      <c r="L239" s="9"/>
      <c r="M239" s="9"/>
      <c r="N239" s="9"/>
      <c r="O239" s="9"/>
      <c r="P239" s="9"/>
    </row>
    <row r="240" ht="30.0" customHeight="1">
      <c r="A240" s="4" t="s">
        <v>392</v>
      </c>
      <c r="B240" s="14" t="s">
        <v>393</v>
      </c>
      <c r="C240" s="6">
        <v>3630.0</v>
      </c>
      <c r="D240" s="7" t="str">
        <f t="shared" si="14"/>
        <v>Determina  nr. 233 del 20/05/2016</v>
      </c>
      <c r="E240" s="5" t="s">
        <v>425</v>
      </c>
      <c r="F240" s="8" t="s">
        <v>12</v>
      </c>
      <c r="G240" s="8" t="s">
        <v>395</v>
      </c>
      <c r="H240" s="9"/>
      <c r="I240" s="9"/>
      <c r="J240" s="9"/>
      <c r="K240" s="9"/>
      <c r="L240" s="9"/>
      <c r="M240" s="9"/>
      <c r="N240" s="9"/>
      <c r="O240" s="9"/>
      <c r="P240" s="9"/>
    </row>
    <row r="241" ht="30.0" customHeight="1">
      <c r="A241" s="4" t="s">
        <v>392</v>
      </c>
      <c r="B241" s="14" t="s">
        <v>393</v>
      </c>
      <c r="C241" s="6">
        <v>4840.0</v>
      </c>
      <c r="D241" s="7" t="str">
        <f t="shared" si="14"/>
        <v>Determina  nr. 233 del 20/05/2016</v>
      </c>
      <c r="E241" s="5" t="s">
        <v>426</v>
      </c>
      <c r="F241" s="8" t="s">
        <v>12</v>
      </c>
      <c r="G241" s="8" t="s">
        <v>395</v>
      </c>
      <c r="H241" s="9"/>
      <c r="I241" s="9"/>
      <c r="J241" s="9"/>
      <c r="K241" s="9"/>
      <c r="L241" s="9"/>
      <c r="M241" s="9"/>
      <c r="N241" s="9"/>
      <c r="O241" s="9"/>
      <c r="P241" s="9"/>
    </row>
    <row r="242" ht="30.0" customHeight="1">
      <c r="A242" s="4" t="s">
        <v>392</v>
      </c>
      <c r="B242" s="14" t="s">
        <v>393</v>
      </c>
      <c r="C242" s="6">
        <v>1573.0</v>
      </c>
      <c r="D242" s="7" t="str">
        <f t="shared" si="14"/>
        <v>Determina  nr. 233 del 20/05/2016</v>
      </c>
      <c r="E242" s="5" t="s">
        <v>427</v>
      </c>
      <c r="F242" s="8" t="s">
        <v>12</v>
      </c>
      <c r="G242" s="8" t="s">
        <v>395</v>
      </c>
      <c r="H242" s="9"/>
      <c r="I242" s="9"/>
      <c r="J242" s="9"/>
      <c r="K242" s="9"/>
      <c r="L242" s="9"/>
      <c r="M242" s="9"/>
      <c r="N242" s="9"/>
      <c r="O242" s="9"/>
      <c r="P242" s="9"/>
    </row>
    <row r="243" ht="30.0" customHeight="1">
      <c r="A243" s="4" t="s">
        <v>392</v>
      </c>
      <c r="B243" s="14" t="s">
        <v>393</v>
      </c>
      <c r="C243" s="6">
        <v>2400.0</v>
      </c>
      <c r="D243" s="7" t="str">
        <f t="shared" si="14"/>
        <v>Determina  nr. 233 del 20/05/2016</v>
      </c>
      <c r="E243" s="5" t="s">
        <v>428</v>
      </c>
      <c r="F243" s="8" t="s">
        <v>12</v>
      </c>
      <c r="G243" s="8" t="s">
        <v>395</v>
      </c>
      <c r="H243" s="9"/>
      <c r="I243" s="9"/>
      <c r="J243" s="9"/>
      <c r="K243" s="9"/>
      <c r="L243" s="9"/>
      <c r="M243" s="9"/>
      <c r="N243" s="9"/>
      <c r="O243" s="9"/>
      <c r="P243" s="9"/>
    </row>
    <row r="244" ht="30.0" customHeight="1">
      <c r="A244" s="4" t="s">
        <v>392</v>
      </c>
      <c r="B244" s="14" t="s">
        <v>393</v>
      </c>
      <c r="C244" s="6">
        <v>1210.0</v>
      </c>
      <c r="D244" s="7" t="str">
        <f t="shared" si="14"/>
        <v>Determina  nr. 233 del 20/05/2016</v>
      </c>
      <c r="E244" s="5" t="s">
        <v>429</v>
      </c>
      <c r="F244" s="8" t="s">
        <v>12</v>
      </c>
      <c r="G244" s="8" t="s">
        <v>395</v>
      </c>
      <c r="H244" s="9"/>
      <c r="I244" s="9"/>
      <c r="J244" s="9"/>
      <c r="K244" s="9"/>
      <c r="L244" s="9"/>
      <c r="M244" s="9"/>
      <c r="N244" s="9"/>
      <c r="O244" s="9"/>
      <c r="P244" s="9"/>
    </row>
    <row r="245" ht="30.0" customHeight="1">
      <c r="A245" s="4" t="s">
        <v>392</v>
      </c>
      <c r="B245" s="14" t="s">
        <v>393</v>
      </c>
      <c r="C245" s="6">
        <v>2662.0</v>
      </c>
      <c r="D245" s="7" t="str">
        <f t="shared" si="14"/>
        <v>Determina  nr. 233 del 20/05/2016</v>
      </c>
      <c r="E245" s="5" t="s">
        <v>430</v>
      </c>
      <c r="F245" s="8" t="s">
        <v>12</v>
      </c>
      <c r="G245" s="8" t="s">
        <v>395</v>
      </c>
      <c r="H245" s="9"/>
      <c r="I245" s="9"/>
      <c r="J245" s="9"/>
      <c r="K245" s="9"/>
      <c r="L245" s="9"/>
      <c r="M245" s="9"/>
      <c r="N245" s="9"/>
      <c r="O245" s="9"/>
      <c r="P245" s="9"/>
    </row>
    <row r="246" ht="30.0" customHeight="1">
      <c r="A246" s="4" t="s">
        <v>392</v>
      </c>
      <c r="B246" s="14" t="s">
        <v>393</v>
      </c>
      <c r="C246" s="6">
        <v>720.0</v>
      </c>
      <c r="D246" s="7" t="str">
        <f t="shared" si="14"/>
        <v>Determina  nr. 233 del 20/05/2016</v>
      </c>
      <c r="E246" s="5" t="s">
        <v>431</v>
      </c>
      <c r="F246" s="8" t="s">
        <v>12</v>
      </c>
      <c r="G246" s="8" t="s">
        <v>395</v>
      </c>
      <c r="H246" s="9"/>
      <c r="I246" s="9"/>
      <c r="J246" s="9"/>
      <c r="K246" s="9"/>
      <c r="L246" s="9"/>
      <c r="M246" s="9"/>
      <c r="N246" s="9"/>
      <c r="O246" s="9"/>
      <c r="P246" s="9"/>
    </row>
    <row r="247" ht="30.0" customHeight="1">
      <c r="A247" s="4" t="s">
        <v>392</v>
      </c>
      <c r="B247" s="14" t="s">
        <v>393</v>
      </c>
      <c r="C247" s="6">
        <v>1210.0</v>
      </c>
      <c r="D247" s="7" t="str">
        <f t="shared" si="14"/>
        <v>Determina  nr. 233 del 20/05/2016</v>
      </c>
      <c r="E247" s="5" t="s">
        <v>432</v>
      </c>
      <c r="F247" s="8" t="s">
        <v>12</v>
      </c>
      <c r="G247" s="8" t="s">
        <v>395</v>
      </c>
      <c r="H247" s="9"/>
      <c r="I247" s="9"/>
      <c r="J247" s="9"/>
      <c r="K247" s="9"/>
      <c r="L247" s="9"/>
      <c r="M247" s="9"/>
      <c r="N247" s="9"/>
      <c r="O247" s="9"/>
      <c r="P247" s="9"/>
    </row>
    <row r="248" ht="30.0" customHeight="1">
      <c r="A248" s="4" t="s">
        <v>392</v>
      </c>
      <c r="B248" s="14" t="s">
        <v>393</v>
      </c>
      <c r="C248" s="6">
        <v>726.0</v>
      </c>
      <c r="D248" s="7" t="str">
        <f t="shared" si="14"/>
        <v>Determina  nr. 233 del 20/05/2016</v>
      </c>
      <c r="E248" s="5" t="s">
        <v>433</v>
      </c>
      <c r="F248" s="8" t="s">
        <v>12</v>
      </c>
      <c r="G248" s="8" t="s">
        <v>395</v>
      </c>
      <c r="H248" s="9"/>
      <c r="I248" s="9"/>
      <c r="J248" s="9"/>
      <c r="K248" s="9"/>
      <c r="L248" s="9"/>
      <c r="M248" s="9"/>
      <c r="N248" s="9"/>
      <c r="O248" s="9"/>
      <c r="P248" s="9"/>
    </row>
    <row r="249" ht="30.0" customHeight="1">
      <c r="A249" s="4" t="s">
        <v>392</v>
      </c>
      <c r="B249" s="14" t="s">
        <v>393</v>
      </c>
      <c r="C249" s="6">
        <v>732.0</v>
      </c>
      <c r="D249" s="7" t="str">
        <f t="shared" si="14"/>
        <v>Determina  nr. 233 del 20/05/2016</v>
      </c>
      <c r="E249" s="5" t="s">
        <v>434</v>
      </c>
      <c r="F249" s="8" t="s">
        <v>12</v>
      </c>
      <c r="G249" s="8" t="s">
        <v>395</v>
      </c>
      <c r="H249" s="9"/>
      <c r="I249" s="9"/>
      <c r="J249" s="9"/>
      <c r="K249" s="9"/>
      <c r="L249" s="9"/>
      <c r="M249" s="9"/>
      <c r="N249" s="9"/>
      <c r="O249" s="9"/>
      <c r="P249" s="9"/>
    </row>
    <row r="250" ht="30.0" customHeight="1">
      <c r="A250" s="4" t="s">
        <v>392</v>
      </c>
      <c r="B250" s="14" t="s">
        <v>393</v>
      </c>
      <c r="C250" s="6">
        <v>720.0</v>
      </c>
      <c r="D250" s="7" t="str">
        <f t="shared" si="14"/>
        <v>Determina  nr. 233 del 20/05/2016</v>
      </c>
      <c r="E250" s="5" t="s">
        <v>435</v>
      </c>
      <c r="F250" s="8" t="s">
        <v>12</v>
      </c>
      <c r="G250" s="8" t="s">
        <v>395</v>
      </c>
      <c r="H250" s="9"/>
      <c r="I250" s="9"/>
      <c r="J250" s="9"/>
      <c r="K250" s="9"/>
      <c r="L250" s="9"/>
      <c r="M250" s="9"/>
      <c r="N250" s="9"/>
      <c r="O250" s="9"/>
      <c r="P250" s="9"/>
    </row>
    <row r="251" ht="30.0" customHeight="1">
      <c r="A251" s="4" t="s">
        <v>392</v>
      </c>
      <c r="B251" s="14" t="s">
        <v>393</v>
      </c>
      <c r="C251" s="6">
        <v>1573.0</v>
      </c>
      <c r="D251" s="7" t="str">
        <f t="shared" si="14"/>
        <v>Determina  nr. 233 del 20/05/2016</v>
      </c>
      <c r="E251" s="5" t="s">
        <v>436</v>
      </c>
      <c r="F251" s="8" t="s">
        <v>12</v>
      </c>
      <c r="G251" s="8" t="s">
        <v>395</v>
      </c>
      <c r="H251" s="9"/>
      <c r="I251" s="9"/>
      <c r="J251" s="9"/>
      <c r="K251" s="9"/>
      <c r="L251" s="9"/>
      <c r="M251" s="9"/>
      <c r="N251" s="9"/>
      <c r="O251" s="9"/>
      <c r="P251" s="9"/>
    </row>
    <row r="252" ht="30.0" customHeight="1">
      <c r="A252" s="4" t="s">
        <v>437</v>
      </c>
      <c r="B252" s="13" t="s">
        <v>438</v>
      </c>
      <c r="C252" s="6">
        <v>363.0</v>
      </c>
      <c r="D252" s="7" t="str">
        <f t="shared" si="14"/>
        <v>Determina  nr. 233 del 20/05/2016</v>
      </c>
      <c r="E252" s="5" t="s">
        <v>439</v>
      </c>
      <c r="F252" s="8" t="s">
        <v>12</v>
      </c>
      <c r="G252" s="8" t="s">
        <v>395</v>
      </c>
      <c r="H252" s="9"/>
      <c r="I252" s="9"/>
      <c r="J252" s="9"/>
      <c r="K252" s="9"/>
      <c r="L252" s="9"/>
      <c r="M252" s="9"/>
      <c r="N252" s="9"/>
      <c r="O252" s="9"/>
      <c r="P252" s="9"/>
    </row>
    <row r="253" ht="30.0" customHeight="1">
      <c r="A253" s="4" t="s">
        <v>437</v>
      </c>
      <c r="B253" s="14" t="s">
        <v>438</v>
      </c>
      <c r="C253" s="6">
        <v>1089.0</v>
      </c>
      <c r="D253" s="7" t="str">
        <f t="shared" si="14"/>
        <v>Determina  nr. 233 del 20/05/2016</v>
      </c>
      <c r="E253" s="8" t="s">
        <v>440</v>
      </c>
      <c r="F253" s="8" t="s">
        <v>12</v>
      </c>
      <c r="G253" s="5" t="s">
        <v>395</v>
      </c>
      <c r="H253" s="9"/>
      <c r="I253" s="9"/>
      <c r="J253" s="9"/>
      <c r="K253" s="9"/>
      <c r="L253" s="9"/>
      <c r="M253" s="9"/>
      <c r="N253" s="9"/>
      <c r="O253" s="9"/>
      <c r="P253" s="9"/>
    </row>
    <row r="254" ht="30.0" customHeight="1">
      <c r="A254" s="4" t="s">
        <v>437</v>
      </c>
      <c r="B254" s="14" t="s">
        <v>438</v>
      </c>
      <c r="C254" s="6">
        <v>726.0</v>
      </c>
      <c r="D254" s="7" t="str">
        <f t="shared" si="14"/>
        <v>Determina  nr. 233 del 20/05/2016</v>
      </c>
      <c r="E254" s="8" t="s">
        <v>441</v>
      </c>
      <c r="F254" s="8" t="s">
        <v>12</v>
      </c>
      <c r="G254" s="8" t="s">
        <v>395</v>
      </c>
      <c r="H254" s="9"/>
      <c r="I254" s="9"/>
      <c r="J254" s="9"/>
      <c r="K254" s="9"/>
      <c r="L254" s="9"/>
      <c r="M254" s="9"/>
      <c r="N254" s="9"/>
      <c r="O254" s="9"/>
      <c r="P254" s="9"/>
    </row>
    <row r="255" ht="30.0" customHeight="1">
      <c r="A255" s="4" t="s">
        <v>437</v>
      </c>
      <c r="B255" s="14" t="s">
        <v>438</v>
      </c>
      <c r="C255" s="6">
        <v>1452.0</v>
      </c>
      <c r="D255" s="7" t="str">
        <f t="shared" si="14"/>
        <v>Determina  nr. 233 del 20/05/2016</v>
      </c>
      <c r="E255" s="8" t="s">
        <v>442</v>
      </c>
      <c r="F255" s="8" t="s">
        <v>12</v>
      </c>
      <c r="G255" s="8" t="s">
        <v>395</v>
      </c>
      <c r="H255" s="9"/>
      <c r="I255" s="9"/>
      <c r="J255" s="9"/>
      <c r="K255" s="9"/>
      <c r="L255" s="9"/>
      <c r="M255" s="9"/>
      <c r="N255" s="9"/>
      <c r="O255" s="9"/>
      <c r="P255" s="9"/>
    </row>
    <row r="256" ht="30.0" customHeight="1">
      <c r="A256" s="4" t="s">
        <v>437</v>
      </c>
      <c r="B256" s="14" t="s">
        <v>438</v>
      </c>
      <c r="C256" s="6">
        <v>2904.0</v>
      </c>
      <c r="D256" s="7" t="str">
        <f t="shared" si="14"/>
        <v>Determina  nr. 233 del 20/05/2016</v>
      </c>
      <c r="E256" s="8" t="s">
        <v>443</v>
      </c>
      <c r="F256" s="8" t="s">
        <v>12</v>
      </c>
      <c r="G256" s="8" t="s">
        <v>395</v>
      </c>
      <c r="H256" s="9"/>
      <c r="I256" s="9"/>
      <c r="J256" s="9"/>
      <c r="K256" s="9"/>
      <c r="L256" s="9"/>
      <c r="M256" s="9"/>
      <c r="N256" s="9"/>
      <c r="O256" s="9"/>
      <c r="P256" s="9"/>
    </row>
    <row r="257" ht="30.0" customHeight="1">
      <c r="A257" s="4" t="s">
        <v>437</v>
      </c>
      <c r="B257" s="14" t="s">
        <v>438</v>
      </c>
      <c r="C257" s="6">
        <v>726.0</v>
      </c>
      <c r="D257" s="7" t="str">
        <f t="shared" si="14"/>
        <v>Determina  nr. 233 del 20/05/2016</v>
      </c>
      <c r="E257" s="8" t="s">
        <v>444</v>
      </c>
      <c r="F257" s="8" t="s">
        <v>12</v>
      </c>
      <c r="G257" s="8" t="s">
        <v>395</v>
      </c>
      <c r="H257" s="9"/>
      <c r="I257" s="9"/>
      <c r="J257" s="9"/>
      <c r="K257" s="9"/>
      <c r="L257" s="9"/>
      <c r="M257" s="9"/>
      <c r="N257" s="9"/>
      <c r="O257" s="9"/>
      <c r="P257" s="9"/>
    </row>
    <row r="258" ht="30.0" customHeight="1">
      <c r="A258" s="4" t="s">
        <v>437</v>
      </c>
      <c r="B258" s="14" t="s">
        <v>438</v>
      </c>
      <c r="C258" s="6">
        <v>1089.0</v>
      </c>
      <c r="D258" s="7" t="str">
        <f t="shared" si="14"/>
        <v>Determina  nr. 233 del 20/05/2016</v>
      </c>
      <c r="E258" s="8" t="s">
        <v>445</v>
      </c>
      <c r="F258" s="8" t="s">
        <v>12</v>
      </c>
      <c r="G258" s="8" t="s">
        <v>395</v>
      </c>
      <c r="H258" s="9"/>
      <c r="I258" s="9"/>
      <c r="J258" s="9"/>
      <c r="K258" s="9"/>
      <c r="L258" s="9"/>
      <c r="M258" s="9"/>
      <c r="N258" s="9"/>
      <c r="O258" s="9"/>
      <c r="P258" s="9"/>
    </row>
    <row r="259" ht="30.0" customHeight="1">
      <c r="A259" s="4" t="s">
        <v>437</v>
      </c>
      <c r="B259" s="14" t="s">
        <v>438</v>
      </c>
      <c r="C259" s="6">
        <v>726.0</v>
      </c>
      <c r="D259" s="7" t="str">
        <f t="shared" si="14"/>
        <v>Determina  nr. 233 del 20/05/2016</v>
      </c>
      <c r="E259" s="8" t="s">
        <v>446</v>
      </c>
      <c r="F259" s="8" t="s">
        <v>12</v>
      </c>
      <c r="G259" s="8" t="s">
        <v>395</v>
      </c>
      <c r="H259" s="9"/>
      <c r="I259" s="9"/>
      <c r="J259" s="9"/>
      <c r="K259" s="9"/>
      <c r="L259" s="9"/>
      <c r="M259" s="9"/>
      <c r="N259" s="9"/>
      <c r="O259" s="9"/>
      <c r="P259" s="9"/>
    </row>
    <row r="260" ht="30.0" customHeight="1">
      <c r="A260" s="4" t="s">
        <v>437</v>
      </c>
      <c r="B260" s="14" t="s">
        <v>438</v>
      </c>
      <c r="C260" s="6">
        <v>8640.0</v>
      </c>
      <c r="D260" s="7" t="str">
        <f t="shared" si="14"/>
        <v>Determina  nr. 233 del 20/05/2016</v>
      </c>
      <c r="E260" s="8" t="s">
        <v>447</v>
      </c>
      <c r="F260" s="8" t="s">
        <v>12</v>
      </c>
      <c r="G260" s="8" t="s">
        <v>395</v>
      </c>
      <c r="H260" s="9"/>
      <c r="I260" s="9"/>
      <c r="J260" s="9"/>
      <c r="K260" s="9"/>
      <c r="L260" s="9"/>
      <c r="M260" s="9"/>
      <c r="N260" s="9"/>
      <c r="O260" s="9"/>
      <c r="P260" s="9"/>
    </row>
    <row r="261" ht="30.0" customHeight="1">
      <c r="A261" s="4" t="s">
        <v>437</v>
      </c>
      <c r="B261" s="14" t="s">
        <v>438</v>
      </c>
      <c r="C261" s="6">
        <v>363.0</v>
      </c>
      <c r="D261" s="7" t="str">
        <f t="shared" si="14"/>
        <v>Determina  nr. 233 del 20/05/2016</v>
      </c>
      <c r="E261" s="8" t="s">
        <v>448</v>
      </c>
      <c r="F261" s="8" t="s">
        <v>12</v>
      </c>
      <c r="G261" s="8" t="s">
        <v>395</v>
      </c>
      <c r="H261" s="9"/>
      <c r="I261" s="9"/>
      <c r="J261" s="9"/>
      <c r="K261" s="9"/>
      <c r="L261" s="9"/>
      <c r="M261" s="9"/>
      <c r="N261" s="9"/>
      <c r="O261" s="9"/>
      <c r="P261" s="9"/>
    </row>
    <row r="262" ht="30.0" customHeight="1">
      <c r="A262" s="4" t="s">
        <v>437</v>
      </c>
      <c r="B262" s="14" t="s">
        <v>438</v>
      </c>
      <c r="C262" s="6">
        <v>1452.0</v>
      </c>
      <c r="D262" s="7" t="str">
        <f t="shared" si="14"/>
        <v>Determina  nr. 233 del 20/05/2016</v>
      </c>
      <c r="E262" s="8" t="s">
        <v>449</v>
      </c>
      <c r="F262" s="8" t="s">
        <v>12</v>
      </c>
      <c r="G262" s="8" t="s">
        <v>395</v>
      </c>
      <c r="H262" s="9"/>
      <c r="I262" s="9"/>
      <c r="J262" s="9"/>
      <c r="K262" s="9"/>
      <c r="L262" s="9"/>
      <c r="M262" s="9"/>
      <c r="N262" s="9"/>
      <c r="O262" s="9"/>
      <c r="P262" s="9"/>
    </row>
    <row r="263" ht="30.0" customHeight="1">
      <c r="A263" s="4" t="s">
        <v>437</v>
      </c>
      <c r="B263" s="14" t="s">
        <v>438</v>
      </c>
      <c r="C263" s="6">
        <v>3993.0</v>
      </c>
      <c r="D263" s="7" t="str">
        <f t="shared" si="14"/>
        <v>Determina  nr. 233 del 20/05/2016</v>
      </c>
      <c r="E263" s="8" t="s">
        <v>450</v>
      </c>
      <c r="F263" s="8" t="s">
        <v>12</v>
      </c>
      <c r="G263" s="8" t="s">
        <v>395</v>
      </c>
      <c r="H263" s="9"/>
      <c r="I263" s="9"/>
      <c r="J263" s="9"/>
      <c r="K263" s="9"/>
      <c r="L263" s="9"/>
      <c r="M263" s="9"/>
      <c r="N263" s="9"/>
      <c r="O263" s="9"/>
      <c r="P263" s="9"/>
    </row>
    <row r="264" ht="30.0" customHeight="1">
      <c r="A264" s="4" t="s">
        <v>437</v>
      </c>
      <c r="B264" s="14" t="s">
        <v>438</v>
      </c>
      <c r="C264" s="6">
        <v>15972.0</v>
      </c>
      <c r="D264" s="7" t="str">
        <f t="shared" si="14"/>
        <v>Determina  nr. 233 del 20/05/2016</v>
      </c>
      <c r="E264" s="8" t="s">
        <v>451</v>
      </c>
      <c r="F264" s="8" t="s">
        <v>12</v>
      </c>
      <c r="G264" s="8" t="s">
        <v>395</v>
      </c>
      <c r="H264" s="9"/>
      <c r="I264" s="9"/>
      <c r="J264" s="9"/>
      <c r="K264" s="9"/>
      <c r="L264" s="9"/>
      <c r="M264" s="9"/>
      <c r="N264" s="9"/>
      <c r="O264" s="9"/>
      <c r="P264" s="9"/>
    </row>
    <row r="265" ht="30.0" customHeight="1">
      <c r="A265" s="4" t="s">
        <v>437</v>
      </c>
      <c r="B265" s="14" t="s">
        <v>438</v>
      </c>
      <c r="C265" s="6">
        <v>3267.0</v>
      </c>
      <c r="D265" s="7" t="str">
        <f t="shared" si="14"/>
        <v>Determina  nr. 233 del 20/05/2016</v>
      </c>
      <c r="E265" s="8" t="s">
        <v>452</v>
      </c>
      <c r="F265" s="8" t="s">
        <v>12</v>
      </c>
      <c r="G265" s="8" t="s">
        <v>395</v>
      </c>
      <c r="H265" s="9"/>
      <c r="I265" s="9"/>
      <c r="J265" s="9"/>
      <c r="K265" s="9"/>
      <c r="L265" s="9"/>
      <c r="M265" s="9"/>
      <c r="N265" s="9"/>
      <c r="O265" s="9"/>
      <c r="P265" s="9"/>
    </row>
    <row r="266" ht="30.0" customHeight="1">
      <c r="A266" s="4" t="s">
        <v>437</v>
      </c>
      <c r="B266" s="14" t="s">
        <v>438</v>
      </c>
      <c r="C266" s="6">
        <v>1452.0</v>
      </c>
      <c r="D266" s="7" t="str">
        <f t="shared" si="14"/>
        <v>Determina  nr. 233 del 20/05/2016</v>
      </c>
      <c r="E266" s="8" t="s">
        <v>453</v>
      </c>
      <c r="F266" s="8" t="s">
        <v>12</v>
      </c>
      <c r="G266" s="8" t="s">
        <v>395</v>
      </c>
      <c r="H266" s="9"/>
      <c r="I266" s="9"/>
      <c r="J266" s="9"/>
      <c r="K266" s="9"/>
      <c r="L266" s="9"/>
      <c r="M266" s="9"/>
      <c r="N266" s="9"/>
      <c r="O266" s="9"/>
      <c r="P266" s="9"/>
    </row>
    <row r="267" ht="30.0" customHeight="1">
      <c r="A267" s="4" t="s">
        <v>437</v>
      </c>
      <c r="B267" s="14" t="s">
        <v>438</v>
      </c>
      <c r="C267" s="6">
        <v>2541.0</v>
      </c>
      <c r="D267" s="7" t="str">
        <f t="shared" si="14"/>
        <v>Determina  nr. 233 del 20/05/2016</v>
      </c>
      <c r="E267" s="8" t="s">
        <v>454</v>
      </c>
      <c r="F267" s="8" t="s">
        <v>12</v>
      </c>
      <c r="G267" s="8" t="s">
        <v>395</v>
      </c>
      <c r="H267" s="9"/>
      <c r="I267" s="9"/>
      <c r="J267" s="9"/>
      <c r="K267" s="9"/>
      <c r="L267" s="9"/>
      <c r="M267" s="9"/>
      <c r="N267" s="9"/>
      <c r="O267" s="9"/>
      <c r="P267" s="9"/>
    </row>
    <row r="268" ht="30.0" customHeight="1">
      <c r="A268" s="4" t="s">
        <v>455</v>
      </c>
      <c r="B268" s="14" t="s">
        <v>456</v>
      </c>
      <c r="C268" s="6">
        <v>402797.75</v>
      </c>
      <c r="D268" s="7" t="str">
        <f>HYPERLINK("http://www.usrc.it/AppRendiConta/det_234_20160520.pdf","Determina nr. 234 del 20/05/2016")</f>
        <v>Determina nr. 234 del 20/05/2016</v>
      </c>
      <c r="E268" s="8" t="s">
        <v>457</v>
      </c>
      <c r="F268" s="8" t="s">
        <v>12</v>
      </c>
      <c r="G268" s="8" t="s">
        <v>85</v>
      </c>
      <c r="H268" s="9"/>
      <c r="I268" s="9"/>
      <c r="J268" s="9"/>
      <c r="K268" s="9"/>
      <c r="L268" s="9"/>
      <c r="M268" s="9"/>
      <c r="N268" s="9"/>
      <c r="O268" s="9"/>
      <c r="P268" s="9"/>
    </row>
    <row r="269" ht="30.0" customHeight="1">
      <c r="A269" s="4" t="s">
        <v>131</v>
      </c>
      <c r="B269" s="14" t="s">
        <v>132</v>
      </c>
      <c r="C269" s="6">
        <v>10800.0</v>
      </c>
      <c r="D269" s="7" t="str">
        <f t="shared" ref="D269:D271" si="15">HYPERLINK("http://www.usrc.it/AppRendiConta/det_235_20160520.pdf","Determina nr. 235 del 20/05/2016")</f>
        <v>Determina nr. 235 del 20/05/2016</v>
      </c>
      <c r="E269" s="8" t="s">
        <v>207</v>
      </c>
      <c r="F269" s="8" t="s">
        <v>12</v>
      </c>
      <c r="G269" s="8" t="s">
        <v>322</v>
      </c>
      <c r="H269" s="9"/>
      <c r="I269" s="9"/>
      <c r="J269" s="9"/>
      <c r="K269" s="9"/>
      <c r="L269" s="9"/>
      <c r="M269" s="9"/>
      <c r="N269" s="9"/>
      <c r="O269" s="9"/>
      <c r="P269" s="9"/>
    </row>
    <row r="270" ht="30.0" customHeight="1">
      <c r="A270" s="4" t="s">
        <v>269</v>
      </c>
      <c r="B270" s="14" t="s">
        <v>270</v>
      </c>
      <c r="C270" s="6">
        <v>21600.0</v>
      </c>
      <c r="D270" s="7" t="str">
        <f t="shared" si="15"/>
        <v>Determina nr. 235 del 20/05/2016</v>
      </c>
      <c r="E270" s="8" t="s">
        <v>458</v>
      </c>
      <c r="F270" s="8" t="s">
        <v>12</v>
      </c>
      <c r="G270" s="8" t="s">
        <v>322</v>
      </c>
      <c r="H270" s="9"/>
      <c r="I270" s="9"/>
      <c r="J270" s="9"/>
      <c r="K270" s="9"/>
      <c r="L270" s="9"/>
      <c r="M270" s="9"/>
      <c r="N270" s="9"/>
      <c r="O270" s="9"/>
      <c r="P270" s="9"/>
    </row>
    <row r="271" ht="30.0" customHeight="1">
      <c r="A271" s="4" t="s">
        <v>158</v>
      </c>
      <c r="B271" s="14" t="s">
        <v>159</v>
      </c>
      <c r="C271" s="6">
        <v>10800.0</v>
      </c>
      <c r="D271" s="7" t="str">
        <f t="shared" si="15"/>
        <v>Determina nr. 235 del 20/05/2016</v>
      </c>
      <c r="E271" s="8" t="s">
        <v>207</v>
      </c>
      <c r="F271" s="8" t="s">
        <v>12</v>
      </c>
      <c r="G271" s="8" t="s">
        <v>322</v>
      </c>
      <c r="H271" s="9"/>
      <c r="I271" s="9"/>
      <c r="J271" s="9"/>
      <c r="K271" s="9"/>
      <c r="L271" s="9"/>
      <c r="M271" s="9"/>
      <c r="N271" s="9"/>
      <c r="O271" s="9"/>
      <c r="P271" s="9"/>
    </row>
    <row r="272" ht="30.0" customHeight="1">
      <c r="A272" s="4" t="s">
        <v>135</v>
      </c>
      <c r="B272" s="14" t="s">
        <v>136</v>
      </c>
      <c r="C272" s="6">
        <v>3600.0</v>
      </c>
      <c r="D272" s="7" t="str">
        <f t="shared" ref="D272:D274" si="16">HYPERLINK("http://www.usrc.it/AppRendiConta/det_236_20160520.pdf","Determina nr. 236 del 20/05/2016")</f>
        <v>Determina nr. 236 del 20/05/2016</v>
      </c>
      <c r="E272" s="8" t="s">
        <v>459</v>
      </c>
      <c r="F272" s="8" t="s">
        <v>12</v>
      </c>
      <c r="G272" s="8" t="s">
        <v>460</v>
      </c>
      <c r="H272" s="9"/>
      <c r="I272" s="9"/>
      <c r="J272" s="9"/>
      <c r="K272" s="9"/>
      <c r="L272" s="9"/>
      <c r="M272" s="9"/>
      <c r="N272" s="9"/>
      <c r="O272" s="9"/>
      <c r="P272" s="9"/>
    </row>
    <row r="273" ht="30.0" customHeight="1">
      <c r="A273" s="4" t="s">
        <v>17</v>
      </c>
      <c r="B273" s="14" t="s">
        <v>18</v>
      </c>
      <c r="C273" s="6">
        <v>5400.0</v>
      </c>
      <c r="D273" s="7" t="str">
        <f t="shared" si="16"/>
        <v>Determina nr. 236 del 20/05/2016</v>
      </c>
      <c r="E273" s="8" t="s">
        <v>461</v>
      </c>
      <c r="F273" s="8" t="s">
        <v>12</v>
      </c>
      <c r="G273" s="8" t="s">
        <v>460</v>
      </c>
      <c r="H273" s="9"/>
      <c r="I273" s="9"/>
      <c r="J273" s="9"/>
      <c r="K273" s="9"/>
      <c r="L273" s="9"/>
      <c r="M273" s="9"/>
      <c r="N273" s="9"/>
      <c r="O273" s="9"/>
      <c r="P273" s="9"/>
    </row>
    <row r="274" ht="30.0" customHeight="1">
      <c r="A274" s="4" t="s">
        <v>20</v>
      </c>
      <c r="B274" s="14" t="s">
        <v>21</v>
      </c>
      <c r="C274" s="6">
        <v>5392.9</v>
      </c>
      <c r="D274" s="7" t="str">
        <f t="shared" si="16"/>
        <v>Determina nr. 236 del 20/05/2016</v>
      </c>
      <c r="E274" s="8" t="s">
        <v>462</v>
      </c>
      <c r="F274" s="8" t="s">
        <v>12</v>
      </c>
      <c r="G274" s="8" t="s">
        <v>460</v>
      </c>
      <c r="H274" s="9"/>
      <c r="I274" s="9"/>
      <c r="J274" s="9"/>
      <c r="K274" s="9"/>
      <c r="L274" s="9"/>
      <c r="M274" s="9"/>
      <c r="N274" s="9"/>
      <c r="O274" s="9"/>
      <c r="P274" s="9"/>
    </row>
    <row r="275" ht="30.0" customHeight="1">
      <c r="A275" s="4" t="s">
        <v>17</v>
      </c>
      <c r="B275" s="14" t="s">
        <v>18</v>
      </c>
      <c r="C275" s="6">
        <v>36000.0</v>
      </c>
      <c r="D275" s="7" t="str">
        <f>HYPERLINK("http://www.usrc.it/AppRendiConta/det_237_20160520.pdf","Determina nr. 237 del 20/05/2016")</f>
        <v>Determina nr. 237 del 20/05/2016</v>
      </c>
      <c r="E275" s="8" t="s">
        <v>463</v>
      </c>
      <c r="F275" s="8" t="s">
        <v>12</v>
      </c>
      <c r="G275" s="8" t="s">
        <v>322</v>
      </c>
      <c r="H275" s="9"/>
      <c r="I275" s="9"/>
      <c r="J275" s="9"/>
      <c r="K275" s="9"/>
      <c r="L275" s="9"/>
      <c r="M275" s="9"/>
      <c r="N275" s="9"/>
      <c r="O275" s="9"/>
      <c r="P275" s="9"/>
    </row>
    <row r="276" ht="30.0" customHeight="1">
      <c r="A276" s="4" t="s">
        <v>135</v>
      </c>
      <c r="B276" s="14" t="s">
        <v>136</v>
      </c>
      <c r="C276" s="6">
        <v>13693.55</v>
      </c>
      <c r="D276" s="7" t="str">
        <f t="shared" ref="D276:D288" si="17">HYPERLINK("http://www.usrc.it/AppRendiConta/det_238_20160523.pdf","Determina nr. 238 del 23/05/2016")</f>
        <v>Determina nr. 238 del 23/05/2016</v>
      </c>
      <c r="E276" s="8" t="s">
        <v>464</v>
      </c>
      <c r="F276" s="8" t="s">
        <v>12</v>
      </c>
      <c r="G276" s="8" t="s">
        <v>30</v>
      </c>
      <c r="H276" s="9"/>
      <c r="I276" s="9"/>
      <c r="J276" s="9"/>
      <c r="K276" s="9"/>
      <c r="L276" s="9"/>
      <c r="M276" s="9"/>
      <c r="N276" s="9"/>
      <c r="O276" s="9"/>
      <c r="P276" s="9"/>
    </row>
    <row r="277" ht="30.0" customHeight="1">
      <c r="A277" s="4" t="s">
        <v>68</v>
      </c>
      <c r="B277" s="14" t="s">
        <v>69</v>
      </c>
      <c r="C277" s="6">
        <v>105253.33</v>
      </c>
      <c r="D277" s="7" t="str">
        <f t="shared" si="17"/>
        <v>Determina nr. 238 del 23/05/2016</v>
      </c>
      <c r="E277" s="8" t="s">
        <v>465</v>
      </c>
      <c r="F277" s="8" t="s">
        <v>12</v>
      </c>
      <c r="G277" s="8" t="s">
        <v>30</v>
      </c>
      <c r="H277" s="9"/>
      <c r="I277" s="9"/>
      <c r="J277" s="9"/>
      <c r="K277" s="9"/>
      <c r="L277" s="9"/>
      <c r="M277" s="9"/>
      <c r="N277" s="9"/>
      <c r="O277" s="9"/>
      <c r="P277" s="9"/>
    </row>
    <row r="278" ht="30.0" customHeight="1">
      <c r="A278" s="4" t="s">
        <v>139</v>
      </c>
      <c r="B278" s="14" t="s">
        <v>140</v>
      </c>
      <c r="C278" s="6">
        <v>7400.0</v>
      </c>
      <c r="D278" s="7" t="str">
        <f t="shared" si="17"/>
        <v>Determina nr. 238 del 23/05/2016</v>
      </c>
      <c r="E278" s="8" t="s">
        <v>307</v>
      </c>
      <c r="F278" s="8" t="s">
        <v>12</v>
      </c>
      <c r="G278" s="8" t="s">
        <v>30</v>
      </c>
      <c r="H278" s="9"/>
      <c r="I278" s="9"/>
      <c r="J278" s="9"/>
      <c r="K278" s="9"/>
      <c r="L278" s="9"/>
      <c r="M278" s="9"/>
      <c r="N278" s="9"/>
      <c r="O278" s="9"/>
      <c r="P278" s="9"/>
    </row>
    <row r="279" ht="30.0" customHeight="1">
      <c r="A279" s="4" t="s">
        <v>142</v>
      </c>
      <c r="B279" s="14" t="s">
        <v>143</v>
      </c>
      <c r="C279" s="6">
        <v>7800.0</v>
      </c>
      <c r="D279" s="7" t="str">
        <f t="shared" si="17"/>
        <v>Determina nr. 238 del 23/05/2016</v>
      </c>
      <c r="E279" s="8" t="s">
        <v>466</v>
      </c>
      <c r="F279" s="8" t="s">
        <v>12</v>
      </c>
      <c r="G279" s="8" t="s">
        <v>30</v>
      </c>
      <c r="H279" s="9"/>
      <c r="I279" s="9"/>
      <c r="J279" s="9"/>
      <c r="K279" s="9"/>
      <c r="L279" s="9"/>
      <c r="M279" s="9"/>
      <c r="N279" s="9"/>
      <c r="O279" s="9"/>
      <c r="P279" s="9"/>
    </row>
    <row r="280" ht="30.0" customHeight="1">
      <c r="A280" s="4" t="s">
        <v>43</v>
      </c>
      <c r="B280" s="14" t="s">
        <v>44</v>
      </c>
      <c r="C280" s="6">
        <v>17700.0</v>
      </c>
      <c r="D280" s="7" t="str">
        <f t="shared" si="17"/>
        <v>Determina nr. 238 del 23/05/2016</v>
      </c>
      <c r="E280" s="8" t="s">
        <v>144</v>
      </c>
      <c r="F280" s="8" t="s">
        <v>12</v>
      </c>
      <c r="G280" s="8" t="s">
        <v>30</v>
      </c>
      <c r="H280" s="9"/>
      <c r="I280" s="9"/>
      <c r="J280" s="9"/>
      <c r="K280" s="9"/>
      <c r="L280" s="9"/>
      <c r="M280" s="9"/>
      <c r="N280" s="9"/>
      <c r="O280" s="9"/>
      <c r="P280" s="9"/>
    </row>
    <row r="281" ht="30.0" customHeight="1">
      <c r="A281" s="4" t="s">
        <v>17</v>
      </c>
      <c r="B281" s="14" t="s">
        <v>18</v>
      </c>
      <c r="C281" s="6">
        <v>2600.0</v>
      </c>
      <c r="D281" s="7" t="str">
        <f t="shared" si="17"/>
        <v>Determina nr. 238 del 23/05/2016</v>
      </c>
      <c r="E281" s="8" t="s">
        <v>467</v>
      </c>
      <c r="F281" s="8" t="s">
        <v>12</v>
      </c>
      <c r="G281" s="8" t="s">
        <v>30</v>
      </c>
      <c r="H281" s="9"/>
      <c r="I281" s="9"/>
      <c r="J281" s="9"/>
      <c r="K281" s="9"/>
      <c r="L281" s="9"/>
      <c r="M281" s="9"/>
      <c r="N281" s="9"/>
      <c r="O281" s="9"/>
      <c r="P281" s="9"/>
    </row>
    <row r="282" ht="30.0" customHeight="1">
      <c r="A282" s="4" t="s">
        <v>148</v>
      </c>
      <c r="B282" s="14" t="s">
        <v>149</v>
      </c>
      <c r="C282" s="6">
        <v>1200.0</v>
      </c>
      <c r="D282" s="7" t="str">
        <f t="shared" si="17"/>
        <v>Determina nr. 238 del 23/05/2016</v>
      </c>
      <c r="E282" s="8" t="s">
        <v>468</v>
      </c>
      <c r="F282" s="8" t="s">
        <v>12</v>
      </c>
      <c r="G282" s="8" t="s">
        <v>30</v>
      </c>
      <c r="H282" s="9"/>
      <c r="I282" s="9"/>
      <c r="J282" s="9"/>
      <c r="K282" s="9"/>
      <c r="L282" s="9"/>
      <c r="M282" s="9"/>
      <c r="N282" s="9"/>
      <c r="O282" s="9"/>
      <c r="P282" s="9"/>
    </row>
    <row r="283" ht="30.0" customHeight="1">
      <c r="A283" s="4" t="s">
        <v>154</v>
      </c>
      <c r="B283" s="14" t="s">
        <v>155</v>
      </c>
      <c r="C283" s="6">
        <v>1737.93</v>
      </c>
      <c r="D283" s="7" t="str">
        <f t="shared" si="17"/>
        <v>Determina nr. 238 del 23/05/2016</v>
      </c>
      <c r="E283" s="8" t="s">
        <v>307</v>
      </c>
      <c r="F283" s="8" t="s">
        <v>12</v>
      </c>
      <c r="G283" s="8" t="s">
        <v>30</v>
      </c>
      <c r="H283" s="9"/>
      <c r="I283" s="9"/>
      <c r="J283" s="9"/>
      <c r="K283" s="9"/>
      <c r="L283" s="9"/>
      <c r="M283" s="9"/>
      <c r="N283" s="9"/>
      <c r="O283" s="9"/>
      <c r="P283" s="9"/>
    </row>
    <row r="284" ht="30.0" customHeight="1">
      <c r="A284" s="4" t="s">
        <v>59</v>
      </c>
      <c r="B284" s="14" t="s">
        <v>60</v>
      </c>
      <c r="C284" s="6">
        <v>63555.17</v>
      </c>
      <c r="D284" s="7" t="str">
        <f t="shared" si="17"/>
        <v>Determina nr. 238 del 23/05/2016</v>
      </c>
      <c r="E284" s="8" t="s">
        <v>469</v>
      </c>
      <c r="F284" s="8" t="s">
        <v>12</v>
      </c>
      <c r="G284" s="8" t="s">
        <v>30</v>
      </c>
      <c r="H284" s="9"/>
      <c r="I284" s="9"/>
      <c r="J284" s="9"/>
      <c r="K284" s="9"/>
      <c r="L284" s="9"/>
      <c r="M284" s="9"/>
      <c r="N284" s="9"/>
      <c r="O284" s="9"/>
      <c r="P284" s="9"/>
    </row>
    <row r="285" ht="30.0" customHeight="1">
      <c r="A285" s="4" t="s">
        <v>115</v>
      </c>
      <c r="B285" s="14" t="s">
        <v>116</v>
      </c>
      <c r="C285" s="6">
        <v>15300.0</v>
      </c>
      <c r="D285" s="7" t="str">
        <f t="shared" si="17"/>
        <v>Determina nr. 238 del 23/05/2016</v>
      </c>
      <c r="E285" s="8" t="s">
        <v>466</v>
      </c>
      <c r="F285" s="8" t="s">
        <v>12</v>
      </c>
      <c r="G285" s="8" t="s">
        <v>30</v>
      </c>
      <c r="H285" s="9"/>
      <c r="I285" s="9"/>
      <c r="J285" s="9"/>
      <c r="K285" s="9"/>
      <c r="L285" s="9"/>
      <c r="M285" s="9"/>
      <c r="N285" s="9"/>
      <c r="O285" s="9"/>
      <c r="P285" s="9"/>
    </row>
    <row r="286" ht="30.0" customHeight="1">
      <c r="A286" s="4" t="s">
        <v>34</v>
      </c>
      <c r="B286" s="14" t="s">
        <v>35</v>
      </c>
      <c r="C286" s="6">
        <v>406.45</v>
      </c>
      <c r="D286" s="7" t="str">
        <f t="shared" si="17"/>
        <v>Determina nr. 238 del 23/05/2016</v>
      </c>
      <c r="E286" s="8" t="s">
        <v>307</v>
      </c>
      <c r="F286" s="8" t="s">
        <v>12</v>
      </c>
      <c r="G286" s="8" t="s">
        <v>30</v>
      </c>
      <c r="H286" s="9"/>
      <c r="I286" s="9"/>
      <c r="J286" s="9"/>
      <c r="K286" s="9"/>
      <c r="L286" s="9"/>
      <c r="M286" s="9"/>
      <c r="N286" s="9"/>
      <c r="O286" s="9"/>
      <c r="P286" s="9"/>
    </row>
    <row r="287" ht="30.0" customHeight="1">
      <c r="A287" s="4" t="s">
        <v>158</v>
      </c>
      <c r="B287" s="14" t="s">
        <v>159</v>
      </c>
      <c r="C287" s="6">
        <v>10470.97</v>
      </c>
      <c r="D287" s="7" t="str">
        <f t="shared" si="17"/>
        <v>Determina nr. 238 del 23/05/2016</v>
      </c>
      <c r="E287" s="8" t="s">
        <v>470</v>
      </c>
      <c r="F287" s="8" t="s">
        <v>12</v>
      </c>
      <c r="G287" s="8" t="s">
        <v>30</v>
      </c>
      <c r="H287" s="9"/>
      <c r="I287" s="9"/>
      <c r="J287" s="9"/>
      <c r="K287" s="9"/>
      <c r="L287" s="9"/>
      <c r="M287" s="9"/>
      <c r="N287" s="9"/>
      <c r="O287" s="9"/>
      <c r="P287" s="9"/>
    </row>
    <row r="288" ht="30.0" customHeight="1">
      <c r="A288" s="4" t="s">
        <v>161</v>
      </c>
      <c r="B288" s="14" t="s">
        <v>162</v>
      </c>
      <c r="C288" s="6">
        <v>27600.0</v>
      </c>
      <c r="D288" s="7" t="str">
        <f t="shared" si="17"/>
        <v>Determina nr. 238 del 23/05/2016</v>
      </c>
      <c r="E288" s="8" t="s">
        <v>471</v>
      </c>
      <c r="F288" s="8" t="s">
        <v>12</v>
      </c>
      <c r="G288" s="8" t="s">
        <v>30</v>
      </c>
      <c r="H288" s="9"/>
      <c r="I288" s="9"/>
      <c r="J288" s="9"/>
      <c r="K288" s="9"/>
      <c r="L288" s="9"/>
      <c r="M288" s="9"/>
      <c r="N288" s="9"/>
      <c r="O288" s="9"/>
      <c r="P288" s="9"/>
    </row>
    <row r="289" ht="30.0" customHeight="1">
      <c r="A289" s="4" t="s">
        <v>472</v>
      </c>
      <c r="B289" s="14" t="s">
        <v>473</v>
      </c>
      <c r="C289" s="6">
        <v>3600.0</v>
      </c>
      <c r="D289" s="7" t="str">
        <f t="shared" ref="D289:D294" si="18">HYPERLINK("http://www.usrc.it/AppRendiConta/det_239_20160523.pdf","Determina nr. 239 del 23/05/2016")</f>
        <v>Determina nr. 239 del 23/05/2016</v>
      </c>
      <c r="E289" s="8" t="s">
        <v>474</v>
      </c>
      <c r="F289" s="8" t="s">
        <v>12</v>
      </c>
      <c r="G289" s="8" t="s">
        <v>30</v>
      </c>
      <c r="H289" s="9"/>
      <c r="I289" s="9"/>
      <c r="J289" s="9"/>
      <c r="K289" s="9"/>
      <c r="L289" s="9"/>
      <c r="M289" s="9"/>
      <c r="N289" s="9"/>
      <c r="O289" s="9"/>
      <c r="P289" s="9"/>
    </row>
    <row r="290" ht="30.0" customHeight="1">
      <c r="A290" s="4" t="s">
        <v>475</v>
      </c>
      <c r="B290" s="14" t="s">
        <v>476</v>
      </c>
      <c r="C290" s="6">
        <v>4200.0</v>
      </c>
      <c r="D290" s="7" t="str">
        <f t="shared" si="18"/>
        <v>Determina nr. 239 del 23/05/2016</v>
      </c>
      <c r="E290" s="8" t="s">
        <v>477</v>
      </c>
      <c r="F290" s="8" t="s">
        <v>12</v>
      </c>
      <c r="G290" s="8" t="s">
        <v>30</v>
      </c>
      <c r="H290" s="9"/>
      <c r="I290" s="9"/>
      <c r="J290" s="9"/>
      <c r="K290" s="9"/>
      <c r="L290" s="9"/>
      <c r="M290" s="9"/>
      <c r="N290" s="9"/>
      <c r="O290" s="9"/>
      <c r="P290" s="9"/>
    </row>
    <row r="291" ht="30.0" customHeight="1">
      <c r="A291" s="4" t="s">
        <v>174</v>
      </c>
      <c r="B291" s="14" t="s">
        <v>175</v>
      </c>
      <c r="C291" s="6">
        <v>6800.0</v>
      </c>
      <c r="D291" s="7" t="str">
        <f t="shared" si="18"/>
        <v>Determina nr. 239 del 23/05/2016</v>
      </c>
      <c r="E291" s="8" t="s">
        <v>478</v>
      </c>
      <c r="F291" s="8" t="s">
        <v>12</v>
      </c>
      <c r="G291" s="8" t="s">
        <v>30</v>
      </c>
      <c r="H291" s="9"/>
      <c r="I291" s="9"/>
      <c r="J291" s="9"/>
      <c r="K291" s="9"/>
      <c r="L291" s="9"/>
      <c r="M291" s="9"/>
      <c r="N291" s="9"/>
      <c r="O291" s="9"/>
      <c r="P291" s="9"/>
    </row>
    <row r="292" ht="30.0" customHeight="1">
      <c r="A292" s="4" t="s">
        <v>177</v>
      </c>
      <c r="B292" s="14" t="s">
        <v>178</v>
      </c>
      <c r="C292" s="6">
        <v>93822.9</v>
      </c>
      <c r="D292" s="7" t="str">
        <f t="shared" si="18"/>
        <v>Determina nr. 239 del 23/05/2016</v>
      </c>
      <c r="E292" s="8" t="s">
        <v>479</v>
      </c>
      <c r="F292" s="8" t="s">
        <v>12</v>
      </c>
      <c r="G292" s="8" t="s">
        <v>30</v>
      </c>
      <c r="H292" s="9"/>
      <c r="I292" s="9"/>
      <c r="J292" s="9"/>
      <c r="K292" s="9"/>
      <c r="L292" s="9"/>
      <c r="M292" s="9"/>
      <c r="N292" s="9"/>
      <c r="O292" s="9"/>
      <c r="P292" s="9"/>
    </row>
    <row r="293" ht="30.0" customHeight="1">
      <c r="A293" s="4" t="s">
        <v>480</v>
      </c>
      <c r="B293" s="14" t="s">
        <v>481</v>
      </c>
      <c r="C293" s="6">
        <v>16400.0</v>
      </c>
      <c r="D293" s="7" t="str">
        <f t="shared" si="18"/>
        <v>Determina nr. 239 del 23/05/2016</v>
      </c>
      <c r="E293" s="8" t="s">
        <v>482</v>
      </c>
      <c r="F293" s="8" t="s">
        <v>12</v>
      </c>
      <c r="G293" s="8" t="s">
        <v>30</v>
      </c>
      <c r="H293" s="9"/>
      <c r="I293" s="9"/>
      <c r="J293" s="9"/>
      <c r="K293" s="9"/>
      <c r="L293" s="9"/>
      <c r="M293" s="9"/>
      <c r="N293" s="9"/>
      <c r="O293" s="9"/>
      <c r="P293" s="9"/>
    </row>
    <row r="294" ht="30.0" customHeight="1">
      <c r="A294" s="4" t="s">
        <v>483</v>
      </c>
      <c r="B294" s="14" t="s">
        <v>484</v>
      </c>
      <c r="C294" s="6">
        <v>17400.0</v>
      </c>
      <c r="D294" s="7" t="str">
        <f t="shared" si="18"/>
        <v>Determina nr. 239 del 23/05/2016</v>
      </c>
      <c r="E294" s="8" t="s">
        <v>485</v>
      </c>
      <c r="F294" s="8" t="s">
        <v>12</v>
      </c>
      <c r="G294" s="8" t="s">
        <v>30</v>
      </c>
      <c r="H294" s="9"/>
      <c r="I294" s="9"/>
      <c r="J294" s="9"/>
      <c r="K294" s="9"/>
      <c r="L294" s="9"/>
      <c r="M294" s="9"/>
      <c r="N294" s="9"/>
      <c r="O294" s="9"/>
      <c r="P294" s="9"/>
    </row>
    <row r="295" ht="30.0" customHeight="1">
      <c r="A295" s="4" t="s">
        <v>323</v>
      </c>
      <c r="B295" s="14" t="s">
        <v>324</v>
      </c>
      <c r="C295" s="6">
        <v>21600.0</v>
      </c>
      <c r="D295" s="7" t="str">
        <f t="shared" ref="D295:D297" si="19">HYPERLINK("http://www.usrc.it/AppRendiConta/det_240_20160523.pdf","Determina nr. 240 del 23/05/2016")</f>
        <v>Determina nr. 240 del 23/05/2016</v>
      </c>
      <c r="E295" s="8" t="s">
        <v>203</v>
      </c>
      <c r="F295" s="8" t="s">
        <v>12</v>
      </c>
      <c r="G295" s="8" t="s">
        <v>322</v>
      </c>
      <c r="H295" s="9"/>
      <c r="I295" s="9"/>
      <c r="J295" s="9"/>
      <c r="K295" s="9"/>
      <c r="L295" s="9"/>
      <c r="M295" s="9"/>
      <c r="N295" s="9"/>
      <c r="O295" s="9"/>
      <c r="P295" s="9"/>
    </row>
    <row r="296" ht="30.0" customHeight="1">
      <c r="A296" s="4" t="s">
        <v>131</v>
      </c>
      <c r="B296" s="14" t="s">
        <v>132</v>
      </c>
      <c r="C296" s="6">
        <v>12600.0</v>
      </c>
      <c r="D296" s="7" t="str">
        <f t="shared" si="19"/>
        <v>Determina nr. 240 del 23/05/2016</v>
      </c>
      <c r="E296" s="5" t="s">
        <v>486</v>
      </c>
      <c r="F296" s="5" t="s">
        <v>12</v>
      </c>
      <c r="G296" s="5" t="s">
        <v>322</v>
      </c>
      <c r="H296" s="9"/>
      <c r="I296" s="9"/>
      <c r="J296" s="9"/>
      <c r="K296" s="9"/>
      <c r="L296" s="9"/>
      <c r="M296" s="9"/>
      <c r="N296" s="9"/>
      <c r="O296" s="9"/>
      <c r="P296" s="9"/>
    </row>
    <row r="297" ht="30.0" customHeight="1">
      <c r="A297" s="4" t="s">
        <v>269</v>
      </c>
      <c r="B297" s="14" t="s">
        <v>270</v>
      </c>
      <c r="C297" s="6">
        <v>21600.0</v>
      </c>
      <c r="D297" s="7" t="str">
        <f t="shared" si="19"/>
        <v>Determina nr. 240 del 23/05/2016</v>
      </c>
      <c r="E297" s="5" t="s">
        <v>203</v>
      </c>
      <c r="F297" s="5" t="s">
        <v>12</v>
      </c>
      <c r="G297" s="5" t="s">
        <v>322</v>
      </c>
      <c r="H297" s="9"/>
      <c r="I297" s="9"/>
      <c r="J297" s="9"/>
      <c r="K297" s="9"/>
      <c r="L297" s="9"/>
      <c r="M297" s="9"/>
      <c r="N297" s="9"/>
      <c r="O297" s="9"/>
      <c r="P297" s="9"/>
    </row>
    <row r="298" ht="30.0" customHeight="1">
      <c r="A298" s="4" t="s">
        <v>154</v>
      </c>
      <c r="B298" s="14" t="s">
        <v>155</v>
      </c>
      <c r="C298" s="6">
        <v>4750.0</v>
      </c>
      <c r="D298" s="7" t="str">
        <f t="shared" ref="D298:D300" si="20">HYPERLINK("http://www.usrc.it/AppRendiConta/det_241_20160523.pdf","Determina nr. 241 del 23/05/2016")</f>
        <v>Determina nr. 241 del 23/05/2016</v>
      </c>
      <c r="E298" s="5" t="s">
        <v>487</v>
      </c>
      <c r="F298" s="8" t="s">
        <v>12</v>
      </c>
      <c r="G298" s="8" t="s">
        <v>30</v>
      </c>
      <c r="H298" s="9"/>
      <c r="I298" s="9"/>
      <c r="J298" s="9"/>
      <c r="K298" s="9"/>
      <c r="L298" s="9"/>
      <c r="M298" s="9"/>
      <c r="N298" s="9"/>
      <c r="O298" s="9"/>
      <c r="P298" s="9"/>
    </row>
    <row r="299" ht="30.0" customHeight="1">
      <c r="A299" s="4" t="s">
        <v>235</v>
      </c>
      <c r="B299" s="14" t="s">
        <v>236</v>
      </c>
      <c r="C299" s="6">
        <v>1175.0</v>
      </c>
      <c r="D299" s="7" t="str">
        <f t="shared" si="20"/>
        <v>Determina nr. 241 del 23/05/2016</v>
      </c>
      <c r="E299" s="8" t="s">
        <v>488</v>
      </c>
      <c r="F299" s="8" t="s">
        <v>12</v>
      </c>
      <c r="G299" s="8" t="s">
        <v>30</v>
      </c>
      <c r="H299" s="9"/>
      <c r="I299" s="9"/>
      <c r="J299" s="9"/>
      <c r="K299" s="9"/>
      <c r="L299" s="9"/>
      <c r="M299" s="9"/>
      <c r="N299" s="9"/>
      <c r="O299" s="9"/>
      <c r="P299" s="9"/>
    </row>
    <row r="300" ht="30.0" customHeight="1">
      <c r="A300" s="4" t="s">
        <v>115</v>
      </c>
      <c r="B300" s="14" t="s">
        <v>116</v>
      </c>
      <c r="C300" s="6">
        <v>24100.0</v>
      </c>
      <c r="D300" s="7" t="str">
        <f t="shared" si="20"/>
        <v>Determina nr. 241 del 23/05/2016</v>
      </c>
      <c r="E300" s="8" t="s">
        <v>489</v>
      </c>
      <c r="F300" s="8" t="s">
        <v>12</v>
      </c>
      <c r="G300" s="8" t="s">
        <v>30</v>
      </c>
      <c r="H300" s="9"/>
      <c r="I300" s="9"/>
      <c r="J300" s="9"/>
      <c r="K300" s="9"/>
      <c r="L300" s="9"/>
      <c r="M300" s="9"/>
      <c r="N300" s="9"/>
      <c r="O300" s="9"/>
      <c r="P300" s="9"/>
    </row>
    <row r="301" ht="30.0" customHeight="1">
      <c r="A301" s="4" t="s">
        <v>241</v>
      </c>
      <c r="B301" s="14" t="s">
        <v>242</v>
      </c>
      <c r="C301" s="6">
        <v>9342.7</v>
      </c>
      <c r="D301" s="7" t="str">
        <f t="shared" ref="D301:D308" si="21">HYPERLINK("http://www.usrc.it/AppRendiConta/det_242_20160523.pdf","Determina nr. 242 del 23/05/2016")</f>
        <v>Determina nr. 242 del 23/05/2016</v>
      </c>
      <c r="E301" s="8" t="s">
        <v>490</v>
      </c>
      <c r="F301" s="8" t="s">
        <v>12</v>
      </c>
      <c r="G301" s="8" t="s">
        <v>30</v>
      </c>
      <c r="H301" s="9"/>
      <c r="I301" s="9"/>
      <c r="J301" s="9"/>
      <c r="K301" s="9"/>
      <c r="L301" s="9"/>
      <c r="M301" s="9"/>
      <c r="N301" s="9"/>
      <c r="O301" s="9"/>
      <c r="P301" s="9"/>
    </row>
    <row r="302" ht="30.0" customHeight="1">
      <c r="A302" s="4" t="s">
        <v>377</v>
      </c>
      <c r="B302" s="14" t="s">
        <v>378</v>
      </c>
      <c r="C302" s="6">
        <v>1891.0</v>
      </c>
      <c r="D302" s="7" t="str">
        <f t="shared" si="21"/>
        <v>Determina nr. 242 del 23/05/2016</v>
      </c>
      <c r="E302" s="8" t="s">
        <v>240</v>
      </c>
      <c r="F302" s="8" t="s">
        <v>12</v>
      </c>
      <c r="G302" s="8" t="s">
        <v>30</v>
      </c>
      <c r="H302" s="9"/>
      <c r="I302" s="9"/>
      <c r="J302" s="9"/>
      <c r="K302" s="9"/>
      <c r="L302" s="9"/>
      <c r="M302" s="9"/>
      <c r="N302" s="9"/>
      <c r="O302" s="9"/>
      <c r="P302" s="9"/>
    </row>
    <row r="303" ht="30.0" customHeight="1">
      <c r="A303" s="4" t="s">
        <v>139</v>
      </c>
      <c r="B303" s="14" t="s">
        <v>140</v>
      </c>
      <c r="C303" s="6">
        <v>5117.0</v>
      </c>
      <c r="D303" s="7" t="str">
        <f t="shared" si="21"/>
        <v>Determina nr. 242 del 23/05/2016</v>
      </c>
      <c r="E303" s="8" t="s">
        <v>491</v>
      </c>
      <c r="F303" s="8" t="s">
        <v>12</v>
      </c>
      <c r="G303" s="8" t="s">
        <v>30</v>
      </c>
      <c r="H303" s="9"/>
      <c r="I303" s="9"/>
      <c r="J303" s="9"/>
      <c r="K303" s="9"/>
      <c r="L303" s="9"/>
      <c r="M303" s="9"/>
      <c r="N303" s="9"/>
      <c r="O303" s="9"/>
      <c r="P303" s="9"/>
    </row>
    <row r="304" ht="30.0" customHeight="1">
      <c r="A304" s="4" t="s">
        <v>26</v>
      </c>
      <c r="B304" s="14" t="s">
        <v>27</v>
      </c>
      <c r="C304" s="6">
        <v>25000.0</v>
      </c>
      <c r="D304" s="7" t="str">
        <f t="shared" si="21"/>
        <v>Determina nr. 242 del 23/05/2016</v>
      </c>
      <c r="E304" s="8" t="s">
        <v>492</v>
      </c>
      <c r="F304" s="8" t="s">
        <v>12</v>
      </c>
      <c r="G304" s="8" t="s">
        <v>30</v>
      </c>
      <c r="H304" s="9"/>
      <c r="I304" s="9"/>
      <c r="J304" s="9"/>
      <c r="K304" s="9"/>
      <c r="L304" s="9"/>
      <c r="M304" s="9"/>
      <c r="N304" s="9"/>
      <c r="O304" s="9"/>
      <c r="P304" s="9"/>
    </row>
    <row r="305" ht="30.0" customHeight="1">
      <c r="A305" s="4" t="s">
        <v>493</v>
      </c>
      <c r="B305" s="14" t="s">
        <v>494</v>
      </c>
      <c r="C305" s="6">
        <v>6047.0</v>
      </c>
      <c r="D305" s="7" t="str">
        <f t="shared" si="21"/>
        <v>Determina nr. 242 del 23/05/2016</v>
      </c>
      <c r="E305" s="5" t="s">
        <v>495</v>
      </c>
      <c r="F305" s="8" t="s">
        <v>12</v>
      </c>
      <c r="G305" s="8" t="s">
        <v>30</v>
      </c>
      <c r="H305" s="9"/>
      <c r="I305" s="9"/>
      <c r="J305" s="9"/>
      <c r="K305" s="9"/>
      <c r="L305" s="9"/>
      <c r="M305" s="9"/>
      <c r="N305" s="9"/>
      <c r="O305" s="9"/>
      <c r="P305" s="9"/>
    </row>
    <row r="306" ht="30.0" customHeight="1">
      <c r="A306" s="4" t="s">
        <v>115</v>
      </c>
      <c r="B306" s="14" t="s">
        <v>116</v>
      </c>
      <c r="C306" s="6">
        <v>5206.96</v>
      </c>
      <c r="D306" s="7" t="str">
        <f t="shared" si="21"/>
        <v>Determina nr. 242 del 23/05/2016</v>
      </c>
      <c r="E306" s="5" t="s">
        <v>496</v>
      </c>
      <c r="F306" s="8" t="s">
        <v>12</v>
      </c>
      <c r="G306" s="8" t="s">
        <v>30</v>
      </c>
      <c r="H306" s="9"/>
      <c r="I306" s="9"/>
      <c r="J306" s="9"/>
      <c r="K306" s="9"/>
      <c r="L306" s="9"/>
      <c r="M306" s="9"/>
      <c r="N306" s="9"/>
      <c r="O306" s="9"/>
      <c r="P306" s="9"/>
    </row>
    <row r="307" ht="30.0" customHeight="1">
      <c r="A307" s="4" t="s">
        <v>107</v>
      </c>
      <c r="B307" s="14" t="s">
        <v>108</v>
      </c>
      <c r="C307" s="6">
        <v>750.0</v>
      </c>
      <c r="D307" s="7" t="str">
        <f t="shared" si="21"/>
        <v>Determina nr. 242 del 23/05/2016</v>
      </c>
      <c r="E307" s="5" t="s">
        <v>497</v>
      </c>
      <c r="F307" s="8" t="s">
        <v>12</v>
      </c>
      <c r="G307" s="8" t="s">
        <v>30</v>
      </c>
      <c r="H307" s="9"/>
      <c r="I307" s="9"/>
      <c r="J307" s="9"/>
      <c r="K307" s="9"/>
      <c r="L307" s="9"/>
      <c r="M307" s="9"/>
      <c r="N307" s="9"/>
      <c r="O307" s="9"/>
      <c r="P307" s="9"/>
    </row>
    <row r="308" ht="30.0" customHeight="1">
      <c r="A308" s="4" t="s">
        <v>353</v>
      </c>
      <c r="B308" s="14" t="s">
        <v>354</v>
      </c>
      <c r="C308" s="6">
        <v>3300.0</v>
      </c>
      <c r="D308" s="7" t="str">
        <f t="shared" si="21"/>
        <v>Determina nr. 242 del 23/05/2016</v>
      </c>
      <c r="E308" s="8" t="s">
        <v>498</v>
      </c>
      <c r="F308" s="8" t="s">
        <v>12</v>
      </c>
      <c r="G308" s="8" t="s">
        <v>30</v>
      </c>
      <c r="H308" s="9"/>
      <c r="I308" s="9"/>
      <c r="J308" s="9"/>
      <c r="K308" s="9"/>
      <c r="L308" s="9"/>
      <c r="M308" s="9"/>
      <c r="N308" s="9"/>
      <c r="O308" s="9"/>
      <c r="P308" s="9"/>
    </row>
    <row r="309" ht="30.0" customHeight="1">
      <c r="A309" s="4" t="s">
        <v>177</v>
      </c>
      <c r="B309" s="14" t="s">
        <v>178</v>
      </c>
      <c r="C309" s="6">
        <v>8271.6</v>
      </c>
      <c r="D309" s="7" t="str">
        <f>HYPERLINK("http://www.usrc.it/AppRendiConta/det_243_20160523.pdf","Determina nr. 243 del 23/05/2016")</f>
        <v>Determina nr. 243 del 23/05/2016</v>
      </c>
      <c r="E309" s="8" t="s">
        <v>499</v>
      </c>
      <c r="F309" s="8" t="s">
        <v>12</v>
      </c>
      <c r="G309" s="8" t="s">
        <v>30</v>
      </c>
      <c r="H309" s="9"/>
      <c r="I309" s="9"/>
      <c r="J309" s="9"/>
      <c r="K309" s="9"/>
      <c r="L309" s="9"/>
      <c r="M309" s="9"/>
      <c r="N309" s="9"/>
      <c r="O309" s="9"/>
      <c r="P309" s="9"/>
    </row>
    <row r="310" ht="30.0" customHeight="1">
      <c r="A310" s="4" t="s">
        <v>37</v>
      </c>
      <c r="B310" s="14" t="s">
        <v>38</v>
      </c>
      <c r="C310" s="6">
        <v>478699.89</v>
      </c>
      <c r="D310" s="7" t="str">
        <f>HYPERLINK("http://www.usrc.it/AppRendiConta/det_244_20160523.pdf","Determina nr. 244 del 23/05/2016")</f>
        <v>Determina nr. 244 del 23/05/2016</v>
      </c>
      <c r="E310" s="8" t="s">
        <v>500</v>
      </c>
      <c r="F310" s="8" t="s">
        <v>12</v>
      </c>
      <c r="G310" s="8" t="s">
        <v>13</v>
      </c>
      <c r="H310" s="9"/>
      <c r="I310" s="9"/>
      <c r="J310" s="9"/>
      <c r="K310" s="9"/>
      <c r="L310" s="9"/>
      <c r="M310" s="9"/>
      <c r="N310" s="9"/>
      <c r="O310" s="9"/>
      <c r="P310" s="9"/>
    </row>
    <row r="311" ht="30.0" customHeight="1">
      <c r="A311" s="4" t="s">
        <v>501</v>
      </c>
      <c r="B311" s="14" t="s">
        <v>502</v>
      </c>
      <c r="C311" s="6">
        <v>2776.67</v>
      </c>
      <c r="D311" s="7" t="str">
        <f t="shared" ref="D311:D313" si="22">HYPERLINK("http://www.usrc.it/AppRendiConta/det_245_20160523.pdf","Determina nr. 245 del 23/05/2016")</f>
        <v>Determina nr. 245 del 23/05/2016</v>
      </c>
      <c r="E311" s="8" t="s">
        <v>503</v>
      </c>
      <c r="F311" s="8" t="s">
        <v>12</v>
      </c>
      <c r="G311" s="8" t="s">
        <v>30</v>
      </c>
      <c r="H311" s="9"/>
      <c r="I311" s="9"/>
      <c r="J311" s="9"/>
      <c r="K311" s="9"/>
      <c r="L311" s="9"/>
      <c r="M311" s="9"/>
      <c r="N311" s="9"/>
      <c r="O311" s="9"/>
      <c r="P311" s="9"/>
    </row>
    <row r="312" ht="30.0" customHeight="1">
      <c r="A312" s="4" t="s">
        <v>475</v>
      </c>
      <c r="B312" s="14" t="s">
        <v>476</v>
      </c>
      <c r="C312" s="6">
        <v>2800.0</v>
      </c>
      <c r="D312" s="7" t="str">
        <f t="shared" si="22"/>
        <v>Determina nr. 245 del 23/05/2016</v>
      </c>
      <c r="E312" s="8" t="s">
        <v>504</v>
      </c>
      <c r="F312" s="8" t="s">
        <v>12</v>
      </c>
      <c r="G312" s="8" t="s">
        <v>30</v>
      </c>
      <c r="H312" s="9"/>
      <c r="I312" s="9"/>
      <c r="J312" s="9"/>
      <c r="K312" s="9"/>
      <c r="L312" s="9"/>
      <c r="M312" s="9"/>
      <c r="N312" s="9"/>
      <c r="O312" s="9"/>
      <c r="P312" s="9"/>
    </row>
    <row r="313" ht="30.0" customHeight="1">
      <c r="A313" s="4" t="s">
        <v>505</v>
      </c>
      <c r="B313" s="14" t="s">
        <v>506</v>
      </c>
      <c r="C313" s="6">
        <v>2040.0</v>
      </c>
      <c r="D313" s="7" t="str">
        <f t="shared" si="22"/>
        <v>Determina nr. 245 del 23/05/2016</v>
      </c>
      <c r="E313" s="8" t="s">
        <v>233</v>
      </c>
      <c r="F313" s="8" t="s">
        <v>12</v>
      </c>
      <c r="G313" s="8" t="s">
        <v>30</v>
      </c>
      <c r="H313" s="9"/>
      <c r="I313" s="9"/>
      <c r="J313" s="9"/>
      <c r="K313" s="9"/>
      <c r="L313" s="9"/>
      <c r="M313" s="9"/>
      <c r="N313" s="9"/>
      <c r="O313" s="9"/>
      <c r="P313" s="9"/>
    </row>
    <row r="314" ht="30.0" customHeight="1">
      <c r="A314" s="4" t="s">
        <v>131</v>
      </c>
      <c r="B314" s="14" t="s">
        <v>132</v>
      </c>
      <c r="C314" s="6">
        <v>19471.19</v>
      </c>
      <c r="D314" s="7" t="str">
        <f>HYPERLINK("http://www.usrc.it/AppRendiConta/det_247_20160523.pdf","Determina nr. 247 del 23/05/2016")</f>
        <v>Determina nr. 247 del 23/05/2016</v>
      </c>
      <c r="E314" s="8" t="s">
        <v>507</v>
      </c>
      <c r="F314" s="8" t="s">
        <v>12</v>
      </c>
      <c r="G314" s="8" t="s">
        <v>67</v>
      </c>
      <c r="H314" s="9"/>
      <c r="I314" s="9"/>
      <c r="J314" s="9"/>
      <c r="K314" s="9"/>
      <c r="L314" s="9"/>
      <c r="M314" s="9"/>
      <c r="N314" s="9"/>
      <c r="O314" s="9"/>
      <c r="P314" s="9"/>
    </row>
    <row r="315" ht="30.0" customHeight="1">
      <c r="A315" s="4" t="s">
        <v>508</v>
      </c>
      <c r="B315" s="5" t="s">
        <v>509</v>
      </c>
      <c r="C315" s="6">
        <v>16947.72</v>
      </c>
      <c r="D315" s="7" t="str">
        <f>HYPERLINK("http://www.usrc.it/AppRendiConta/det_249_20160525.pdf","Determina nr. 249 del 25/05/2016")</f>
        <v>Determina nr. 249 del 25/05/2016</v>
      </c>
      <c r="E315" s="8" t="s">
        <v>510</v>
      </c>
      <c r="F315" s="8" t="s">
        <v>12</v>
      </c>
      <c r="G315" s="8" t="s">
        <v>67</v>
      </c>
      <c r="H315" s="9"/>
      <c r="I315" s="9"/>
      <c r="J315" s="9"/>
      <c r="K315" s="9"/>
      <c r="L315" s="9"/>
      <c r="M315" s="9"/>
      <c r="N315" s="9"/>
      <c r="O315" s="9"/>
      <c r="P315" s="9"/>
    </row>
    <row r="316" ht="30.0" customHeight="1">
      <c r="A316" s="4" t="s">
        <v>380</v>
      </c>
      <c r="B316" s="5" t="s">
        <v>381</v>
      </c>
      <c r="C316" s="6">
        <v>19998.83</v>
      </c>
      <c r="D316" s="7" t="str">
        <f>HYPERLINK("http://www.usrc.it/AppRendiConta/det_250_20160525.pdf","Determina nr. 250 del 25/05/2016")</f>
        <v>Determina nr. 250 del 25/05/2016</v>
      </c>
      <c r="E316" s="5" t="s">
        <v>511</v>
      </c>
      <c r="F316" s="8" t="s">
        <v>12</v>
      </c>
      <c r="G316" s="8" t="s">
        <v>67</v>
      </c>
      <c r="H316" s="9"/>
      <c r="I316" s="9"/>
      <c r="J316" s="9"/>
      <c r="K316" s="9"/>
      <c r="L316" s="9"/>
      <c r="M316" s="9"/>
      <c r="N316" s="9"/>
      <c r="O316" s="9"/>
      <c r="P316" s="9"/>
    </row>
    <row r="317" ht="30.0" customHeight="1">
      <c r="A317" s="4" t="s">
        <v>226</v>
      </c>
      <c r="B317" s="5" t="s">
        <v>227</v>
      </c>
      <c r="C317" s="6">
        <v>9312.56</v>
      </c>
      <c r="D317" s="7" t="str">
        <f>HYPERLINK("http://www.usrc.it/AppRendiConta/det_252_20160525.pdf","Determina nr. 252 del 25/05/2016")</f>
        <v>Determina nr. 252 del 25/05/2016</v>
      </c>
      <c r="E317" s="5" t="s">
        <v>512</v>
      </c>
      <c r="F317" s="8" t="s">
        <v>12</v>
      </c>
      <c r="G317" s="8" t="s">
        <v>371</v>
      </c>
      <c r="H317" s="9"/>
      <c r="I317" s="9"/>
      <c r="J317" s="9"/>
      <c r="K317" s="9"/>
      <c r="L317" s="9"/>
      <c r="M317" s="9"/>
      <c r="N317" s="9"/>
      <c r="O317" s="9"/>
      <c r="P317" s="9"/>
    </row>
    <row r="318" ht="30.0" customHeight="1">
      <c r="A318" s="4" t="s">
        <v>226</v>
      </c>
      <c r="B318" s="5" t="s">
        <v>227</v>
      </c>
      <c r="C318" s="6">
        <v>1900.0</v>
      </c>
      <c r="D318" s="7" t="str">
        <f>HYPERLINK("http://www.usrc.it/AppRendiConta/det_253_20160525.pdf","Determina nr. 253 del 25/05/2016")</f>
        <v>Determina nr. 253 del 25/05/2016</v>
      </c>
      <c r="E318" s="5" t="s">
        <v>513</v>
      </c>
      <c r="F318" s="8" t="s">
        <v>12</v>
      </c>
      <c r="G318" s="8" t="s">
        <v>371</v>
      </c>
      <c r="H318" s="9"/>
      <c r="I318" s="9"/>
      <c r="J318" s="9"/>
      <c r="K318" s="9"/>
      <c r="L318" s="9"/>
      <c r="M318" s="9"/>
      <c r="N318" s="9"/>
      <c r="O318" s="9"/>
      <c r="P318" s="9"/>
    </row>
    <row r="319" ht="30.0" customHeight="1">
      <c r="A319" s="4" t="s">
        <v>34</v>
      </c>
      <c r="B319" s="5" t="s">
        <v>35</v>
      </c>
      <c r="C319" s="6">
        <v>7320.0</v>
      </c>
      <c r="D319" s="7" t="str">
        <f>HYPERLINK("http://www.usrc.it/AppRendiConta/det_254_20160525.pdf","Determina nr. 254 del 25/05/2016")</f>
        <v>Determina nr. 254 del 25/05/2016</v>
      </c>
      <c r="E319" s="5" t="s">
        <v>514</v>
      </c>
      <c r="F319" s="8" t="s">
        <v>12</v>
      </c>
      <c r="G319" s="8" t="s">
        <v>371</v>
      </c>
      <c r="H319" s="9"/>
      <c r="I319" s="9"/>
      <c r="J319" s="9"/>
      <c r="K319" s="9"/>
      <c r="L319" s="9"/>
      <c r="M319" s="9"/>
      <c r="N319" s="9"/>
      <c r="O319" s="9"/>
      <c r="P319" s="9"/>
    </row>
    <row r="320" ht="30.0" customHeight="1">
      <c r="A320" s="4" t="s">
        <v>515</v>
      </c>
      <c r="B320" s="5" t="s">
        <v>516</v>
      </c>
      <c r="C320" s="6">
        <v>3767291.75</v>
      </c>
      <c r="D320" s="7" t="str">
        <f>HYPERLINK("http://www.usrc.it/AppRendiConta/det_258_20160530.pdf","Determina nr. 258 del 30/05/2016")</f>
        <v>Determina nr. 258 del 30/05/2016</v>
      </c>
      <c r="E320" s="5" t="s">
        <v>517</v>
      </c>
      <c r="F320" s="8" t="s">
        <v>12</v>
      </c>
      <c r="G320" s="8" t="s">
        <v>518</v>
      </c>
      <c r="H320" s="9"/>
      <c r="I320" s="9"/>
      <c r="J320" s="9"/>
      <c r="K320" s="9"/>
      <c r="L320" s="9"/>
      <c r="M320" s="9"/>
      <c r="N320" s="9"/>
      <c r="O320" s="9"/>
      <c r="P320" s="9"/>
    </row>
    <row r="321" ht="30.0" customHeight="1">
      <c r="A321" s="4" t="s">
        <v>148</v>
      </c>
      <c r="B321" s="5" t="s">
        <v>149</v>
      </c>
      <c r="C321" s="6">
        <v>25738.63</v>
      </c>
      <c r="D321" s="7" t="str">
        <f>HYPERLINK("http://www.usrc.it/AppRendiConta/det_260_20160530.pdf","Determina nr. 260 del 30/05/2016")</f>
        <v>Determina nr. 260 del 30/05/2016</v>
      </c>
      <c r="E321" s="5" t="s">
        <v>519</v>
      </c>
      <c r="F321" s="8" t="s">
        <v>12</v>
      </c>
      <c r="G321" s="8" t="s">
        <v>85</v>
      </c>
      <c r="H321" s="9"/>
      <c r="I321" s="9"/>
      <c r="J321" s="9"/>
      <c r="K321" s="9"/>
      <c r="L321" s="9"/>
      <c r="M321" s="9"/>
      <c r="N321" s="9"/>
      <c r="O321" s="9"/>
      <c r="P321" s="9"/>
    </row>
    <row r="322" ht="30.0" customHeight="1">
      <c r="A322" s="4" t="s">
        <v>226</v>
      </c>
      <c r="B322" s="5" t="s">
        <v>227</v>
      </c>
      <c r="C322" s="6">
        <v>817170.64</v>
      </c>
      <c r="D322" s="7" t="str">
        <f>HYPERLINK("http://www.usrc.it/AppRendiConta/det_261_20160531.pdf","Determina nr. 261 del 31/05/2016")</f>
        <v>Determina nr. 261 del 31/05/2016</v>
      </c>
      <c r="E322" s="5" t="s">
        <v>520</v>
      </c>
      <c r="F322" s="8" t="s">
        <v>12</v>
      </c>
      <c r="G322" s="8" t="s">
        <v>521</v>
      </c>
      <c r="H322" s="9"/>
      <c r="I322" s="9"/>
      <c r="J322" s="9"/>
      <c r="K322" s="9"/>
      <c r="L322" s="9"/>
      <c r="M322" s="9"/>
      <c r="N322" s="9"/>
      <c r="O322" s="9"/>
      <c r="P322" s="9"/>
    </row>
    <row r="323" ht="30.0" customHeight="1">
      <c r="A323" s="4" t="s">
        <v>522</v>
      </c>
      <c r="B323" s="5" t="s">
        <v>523</v>
      </c>
      <c r="C323" s="6">
        <v>301029.72</v>
      </c>
      <c r="D323" s="7" t="str">
        <f>HYPERLINK("http://www.usrc.it/AppRendiConta/det_273_20160601.pdf","Determina nr. 273 del 01/06/2016")</f>
        <v>Determina nr. 273 del 01/06/2016</v>
      </c>
      <c r="E323" s="5" t="s">
        <v>524</v>
      </c>
      <c r="F323" s="8" t="s">
        <v>12</v>
      </c>
      <c r="G323" s="8" t="s">
        <v>384</v>
      </c>
      <c r="H323" s="9"/>
      <c r="I323" s="9"/>
      <c r="J323" s="9"/>
      <c r="K323" s="9"/>
      <c r="L323" s="9"/>
      <c r="M323" s="9"/>
      <c r="N323" s="9"/>
      <c r="O323" s="9"/>
      <c r="P323" s="9"/>
    </row>
    <row r="324" ht="30.0" customHeight="1">
      <c r="A324" s="4" t="s">
        <v>9</v>
      </c>
      <c r="B324" s="5" t="s">
        <v>10</v>
      </c>
      <c r="C324" s="6">
        <v>16881.42</v>
      </c>
      <c r="D324" s="7" t="str">
        <f>HYPERLINK("http://www.usrc.it/AppRendiConta/det_275_20160606.pdf","Determina nr. 275 del 06/06/2016")</f>
        <v>Determina nr. 275 del 06/06/2016</v>
      </c>
      <c r="E324" s="5" t="s">
        <v>525</v>
      </c>
      <c r="F324" s="8" t="s">
        <v>12</v>
      </c>
      <c r="G324" s="8" t="s">
        <v>371</v>
      </c>
      <c r="H324" s="9"/>
      <c r="I324" s="9"/>
      <c r="J324" s="9"/>
      <c r="K324" s="9"/>
      <c r="L324" s="9"/>
      <c r="M324" s="9"/>
      <c r="N324" s="9"/>
      <c r="O324" s="9"/>
      <c r="P324" s="9"/>
    </row>
    <row r="325" ht="30.0" customHeight="1">
      <c r="A325" s="4" t="s">
        <v>241</v>
      </c>
      <c r="B325" s="5" t="s">
        <v>242</v>
      </c>
      <c r="C325" s="6">
        <v>65534.99</v>
      </c>
      <c r="D325" s="7" t="str">
        <f>HYPERLINK("http://www.usrc.it/AppRendiConta/det_276_20160606.pdf","Determina nr. 276 del 06/06/2016")</f>
        <v>Determina nr. 276 del 06/06/2016</v>
      </c>
      <c r="E325" s="5" t="s">
        <v>526</v>
      </c>
      <c r="F325" s="8" t="s">
        <v>12</v>
      </c>
      <c r="G325" s="8" t="s">
        <v>371</v>
      </c>
      <c r="H325" s="9"/>
      <c r="I325" s="9"/>
      <c r="J325" s="9"/>
      <c r="K325" s="9"/>
      <c r="L325" s="9"/>
      <c r="M325" s="9"/>
      <c r="N325" s="9"/>
      <c r="O325" s="9"/>
      <c r="P325" s="9"/>
    </row>
    <row r="326" ht="30.0" customHeight="1">
      <c r="A326" s="4" t="s">
        <v>119</v>
      </c>
      <c r="B326" s="5" t="s">
        <v>120</v>
      </c>
      <c r="C326" s="6">
        <v>1034.52</v>
      </c>
      <c r="D326" s="15" t="str">
        <f>HYPERLINK("http://www.usrc.it/AppRendiConta/det_277_20160606.pdf","Determina nr. 277 del 06/06/2016")</f>
        <v>Determina nr. 277 del 06/06/2016</v>
      </c>
      <c r="E326" s="8" t="s">
        <v>527</v>
      </c>
      <c r="F326" s="8" t="s">
        <v>12</v>
      </c>
      <c r="G326" s="8" t="s">
        <v>371</v>
      </c>
      <c r="H326" s="9"/>
      <c r="I326" s="9"/>
      <c r="J326" s="9"/>
      <c r="K326" s="9"/>
      <c r="L326" s="9"/>
      <c r="M326" s="9"/>
      <c r="N326" s="9"/>
      <c r="O326" s="9"/>
      <c r="P326" s="9"/>
    </row>
    <row r="327" ht="30.0" customHeight="1">
      <c r="A327" s="4" t="s">
        <v>501</v>
      </c>
      <c r="B327" s="5" t="s">
        <v>502</v>
      </c>
      <c r="C327" s="6">
        <v>29398.06</v>
      </c>
      <c r="D327" s="7" t="str">
        <f>HYPERLINK("http://www.usrc.it/AppRendiConta/det_279_20160606.pdf","Determina nr. 279 del 06/06/2016")</f>
        <v>Determina nr. 279 del 06/06/2016</v>
      </c>
      <c r="E327" s="5" t="s">
        <v>528</v>
      </c>
      <c r="F327" s="8" t="s">
        <v>12</v>
      </c>
      <c r="G327" s="8" t="s">
        <v>529</v>
      </c>
      <c r="H327" s="9"/>
      <c r="I327" s="9"/>
      <c r="J327" s="9"/>
      <c r="K327" s="9"/>
      <c r="L327" s="9"/>
      <c r="M327" s="9"/>
      <c r="N327" s="9"/>
      <c r="O327" s="9"/>
      <c r="P327" s="9"/>
    </row>
    <row r="328" ht="30.0" customHeight="1">
      <c r="A328" s="4" t="s">
        <v>43</v>
      </c>
      <c r="B328" s="5" t="s">
        <v>44</v>
      </c>
      <c r="C328" s="6">
        <v>2098547.65</v>
      </c>
      <c r="D328" s="7" t="str">
        <f>HYPERLINK("http://www.usrc.it/AppRendiConta/det_281_20160607.pdf","Determina nr. 281 del 07/06/2016")</f>
        <v>Determina nr. 281 del 07/06/2016</v>
      </c>
      <c r="E328" s="8" t="s">
        <v>530</v>
      </c>
      <c r="F328" s="8" t="s">
        <v>12</v>
      </c>
      <c r="G328" s="8" t="s">
        <v>531</v>
      </c>
      <c r="H328" s="9"/>
      <c r="I328" s="9"/>
      <c r="J328" s="9"/>
      <c r="K328" s="9"/>
      <c r="L328" s="9"/>
      <c r="M328" s="9"/>
      <c r="N328" s="9"/>
      <c r="O328" s="9"/>
      <c r="P328" s="9"/>
    </row>
    <row r="329" ht="30.0" customHeight="1">
      <c r="A329" s="4" t="s">
        <v>123</v>
      </c>
      <c r="B329" s="5" t="s">
        <v>124</v>
      </c>
      <c r="C329" s="6">
        <v>9652.48</v>
      </c>
      <c r="D329" s="15" t="str">
        <f>HYPERLINK("http://www.usrc.it/AppRendiConta/det_283_20160607.pdf","Determina nr. 283 del 07/06/2016")</f>
        <v>Determina nr. 283 del 07/06/2016</v>
      </c>
      <c r="E329" s="8" t="s">
        <v>532</v>
      </c>
      <c r="F329" s="8" t="s">
        <v>12</v>
      </c>
      <c r="G329" s="8" t="s">
        <v>371</v>
      </c>
      <c r="H329" s="9"/>
      <c r="I329" s="9"/>
      <c r="J329" s="9"/>
      <c r="K329" s="9"/>
      <c r="L329" s="9"/>
      <c r="M329" s="9"/>
      <c r="N329" s="9"/>
      <c r="O329" s="9"/>
      <c r="P329" s="9"/>
    </row>
    <row r="330" ht="30.0" customHeight="1">
      <c r="A330" s="4" t="s">
        <v>123</v>
      </c>
      <c r="B330" s="5" t="s">
        <v>124</v>
      </c>
      <c r="C330" s="6">
        <v>6709.19</v>
      </c>
      <c r="D330" s="7" t="str">
        <f>HYPERLINK("http://www.usrc.it/AppRendiConta/det_284_20160607.pdf","Determina nr. 284 del 07/06/2016")</f>
        <v>Determina nr. 284 del 07/06/2016</v>
      </c>
      <c r="E330" s="5" t="s">
        <v>533</v>
      </c>
      <c r="F330" s="8" t="s">
        <v>12</v>
      </c>
      <c r="G330" s="8" t="s">
        <v>371</v>
      </c>
      <c r="H330" s="9"/>
      <c r="I330" s="9"/>
      <c r="J330" s="9"/>
      <c r="K330" s="9"/>
      <c r="L330" s="9"/>
      <c r="M330" s="9"/>
      <c r="N330" s="9"/>
      <c r="O330" s="9"/>
      <c r="P330" s="9"/>
    </row>
    <row r="331" ht="30.0" customHeight="1">
      <c r="A331" s="4" t="s">
        <v>123</v>
      </c>
      <c r="B331" s="5" t="s">
        <v>124</v>
      </c>
      <c r="C331" s="6">
        <v>3573.64</v>
      </c>
      <c r="D331" s="7" t="str">
        <f>HYPERLINK("http://www.usrc.it/AppRendiConta/det_285_20160607.pdf","Determina nr. 285 del 07/06/2016")</f>
        <v>Determina nr. 285 del 07/06/2016</v>
      </c>
      <c r="E331" s="5" t="s">
        <v>534</v>
      </c>
      <c r="F331" s="8" t="s">
        <v>12</v>
      </c>
      <c r="G331" s="8" t="s">
        <v>371</v>
      </c>
      <c r="H331" s="9"/>
      <c r="I331" s="9"/>
      <c r="J331" s="9"/>
      <c r="K331" s="9"/>
      <c r="L331" s="9"/>
      <c r="M331" s="9"/>
      <c r="N331" s="9"/>
      <c r="O331" s="9"/>
      <c r="P331" s="9"/>
    </row>
    <row r="332" ht="30.0" customHeight="1">
      <c r="A332" s="4" t="s">
        <v>535</v>
      </c>
      <c r="B332" s="5" t="s">
        <v>536</v>
      </c>
      <c r="C332" s="16">
        <v>33310.75</v>
      </c>
      <c r="D332" s="7" t="str">
        <f>HYPERLINK("http://www.usrc.it/AppRendiConta/det_288_20160607.pdf","Determina nr. 288 del 07/06/2016")</f>
        <v>Determina nr. 288 del 07/06/2016</v>
      </c>
      <c r="E332" s="5" t="s">
        <v>537</v>
      </c>
      <c r="F332" s="8" t="s">
        <v>12</v>
      </c>
      <c r="G332" s="8" t="s">
        <v>371</v>
      </c>
      <c r="H332" s="9"/>
      <c r="I332" s="9"/>
      <c r="J332" s="9"/>
      <c r="K332" s="9"/>
      <c r="L332" s="9"/>
      <c r="M332" s="9"/>
      <c r="N332" s="9"/>
      <c r="O332" s="9"/>
      <c r="P332" s="9"/>
    </row>
    <row r="333" ht="30.0" customHeight="1">
      <c r="A333" s="4" t="s">
        <v>64</v>
      </c>
      <c r="B333" s="5" t="s">
        <v>65</v>
      </c>
      <c r="C333" s="6">
        <v>41549.42</v>
      </c>
      <c r="D333" s="17" t="str">
        <f>HYPERLINK("http://www.usrc.it/AppRendiConta/det_289_20160609.pdf","Determina nr. 289 del 09/06/2016")</f>
        <v>Determina nr. 289 del 09/06/2016</v>
      </c>
      <c r="E333" s="5" t="s">
        <v>538</v>
      </c>
      <c r="F333" s="8" t="s">
        <v>12</v>
      </c>
      <c r="G333" s="8" t="s">
        <v>539</v>
      </c>
      <c r="H333" s="9"/>
      <c r="I333" s="9"/>
      <c r="J333" s="9"/>
      <c r="K333" s="9"/>
      <c r="L333" s="9"/>
      <c r="M333" s="9"/>
      <c r="N333" s="9"/>
      <c r="O333" s="9"/>
      <c r="P333" s="9"/>
    </row>
    <row r="334" ht="30.0" customHeight="1">
      <c r="A334" s="4" t="s">
        <v>216</v>
      </c>
      <c r="B334" s="5" t="s">
        <v>217</v>
      </c>
      <c r="C334" s="6">
        <v>20000.0</v>
      </c>
      <c r="D334" s="7" t="str">
        <f>HYPERLINK("http://www.usrc.it/AppRendiConta/det_291_20160615.pdf","Determina nr. 291 del 15/06/2016")</f>
        <v>Determina nr. 291 del 15/06/2016</v>
      </c>
      <c r="E334" s="5" t="s">
        <v>540</v>
      </c>
      <c r="F334" s="8" t="s">
        <v>12</v>
      </c>
      <c r="G334" s="8" t="s">
        <v>67</v>
      </c>
      <c r="H334" s="9"/>
      <c r="I334" s="9"/>
      <c r="J334" s="9"/>
      <c r="K334" s="9"/>
      <c r="L334" s="9"/>
      <c r="M334" s="9"/>
      <c r="N334" s="9"/>
      <c r="O334" s="9"/>
      <c r="P334" s="9"/>
    </row>
    <row r="335" ht="30.0" customHeight="1">
      <c r="A335" s="4" t="s">
        <v>480</v>
      </c>
      <c r="B335" s="5" t="s">
        <v>481</v>
      </c>
      <c r="C335" s="6">
        <v>1139808.56</v>
      </c>
      <c r="D335" s="7" t="str">
        <f>HYPERLINK("http://www.usrc.it/AppRendiConta/det_297_20160615.pdf","Determina nr. 297 del 15/06/2016")</f>
        <v>Determina nr. 297 del 15/06/2016</v>
      </c>
      <c r="E335" s="5" t="s">
        <v>541</v>
      </c>
      <c r="F335" s="8" t="s">
        <v>12</v>
      </c>
      <c r="G335" s="8" t="s">
        <v>384</v>
      </c>
      <c r="H335" s="9"/>
      <c r="I335" s="9"/>
      <c r="J335" s="9"/>
      <c r="K335" s="9"/>
      <c r="L335" s="9"/>
      <c r="M335" s="9"/>
      <c r="N335" s="9"/>
      <c r="O335" s="9"/>
      <c r="P335" s="9"/>
    </row>
    <row r="336" ht="30.0" customHeight="1">
      <c r="A336" s="4" t="s">
        <v>34</v>
      </c>
      <c r="B336" s="8" t="s">
        <v>35</v>
      </c>
      <c r="C336" s="6">
        <v>4100677.24</v>
      </c>
      <c r="D336" s="7" t="str">
        <f>HYPERLINK("http://www.usrc.it/AppRendiConta/det_299_20160615.pdf","Determina nr. 299 del 15/06/2016")</f>
        <v>Determina nr. 299 del 15/06/2016</v>
      </c>
      <c r="E336" s="5" t="s">
        <v>542</v>
      </c>
      <c r="F336" s="8" t="s">
        <v>12</v>
      </c>
      <c r="G336" s="8" t="s">
        <v>531</v>
      </c>
      <c r="H336" s="9"/>
      <c r="I336" s="9"/>
      <c r="J336" s="9"/>
      <c r="K336" s="9"/>
      <c r="L336" s="9"/>
      <c r="M336" s="9"/>
      <c r="N336" s="9"/>
      <c r="O336" s="9"/>
      <c r="P336" s="9"/>
    </row>
    <row r="337" ht="30.0" customHeight="1">
      <c r="A337" s="4" t="s">
        <v>543</v>
      </c>
      <c r="B337" s="5" t="s">
        <v>544</v>
      </c>
      <c r="C337" s="6">
        <v>18723.08</v>
      </c>
      <c r="D337" s="7" t="str">
        <f>HYPERLINK("http://www.usrc.it/AppRendiConta/det_306_20160617.pdf","Determina nr. 306 del 17/06/2016")</f>
        <v>Determina nr. 306 del 17/06/2016</v>
      </c>
      <c r="E337" s="5" t="s">
        <v>545</v>
      </c>
      <c r="F337" s="8" t="s">
        <v>12</v>
      </c>
      <c r="G337" s="8" t="s">
        <v>529</v>
      </c>
      <c r="H337" s="9"/>
      <c r="I337" s="9"/>
      <c r="J337" s="9"/>
      <c r="K337" s="9"/>
      <c r="L337" s="9"/>
      <c r="M337" s="9"/>
      <c r="N337" s="9"/>
      <c r="O337" s="9"/>
      <c r="P337" s="9"/>
    </row>
    <row r="338" ht="30.0" customHeight="1">
      <c r="A338" s="4" t="s">
        <v>546</v>
      </c>
      <c r="B338" s="5" t="s">
        <v>547</v>
      </c>
      <c r="C338" s="6">
        <v>276989.03</v>
      </c>
      <c r="D338" s="7" t="str">
        <f>HYPERLINK("http://www.usrc.it/AppRendiConta/det_309_20160617.pdf","Determina nr. 309 del 17/06/2016")</f>
        <v>Determina nr. 309 del 17/06/2016</v>
      </c>
      <c r="E338" s="5" t="s">
        <v>548</v>
      </c>
      <c r="F338" s="8" t="s">
        <v>12</v>
      </c>
      <c r="G338" s="8" t="s">
        <v>539</v>
      </c>
      <c r="H338" s="9"/>
      <c r="I338" s="9"/>
      <c r="J338" s="9"/>
      <c r="K338" s="9"/>
      <c r="L338" s="9"/>
      <c r="M338" s="9"/>
      <c r="N338" s="9"/>
      <c r="O338" s="9"/>
      <c r="P338" s="9"/>
    </row>
    <row r="339" ht="30.0" customHeight="1">
      <c r="A339" s="4" t="s">
        <v>226</v>
      </c>
      <c r="B339" s="5" t="s">
        <v>227</v>
      </c>
      <c r="C339" s="6">
        <v>40.0</v>
      </c>
      <c r="D339" s="7" t="str">
        <f>HYPERLINK("http://www.usrc.it/AppRendiConta/det_310_20160617.pdf","Determina nr. 310 del 17/06/2016")</f>
        <v>Determina nr. 310 del 17/06/2016</v>
      </c>
      <c r="E339" s="8" t="s">
        <v>549</v>
      </c>
      <c r="F339" s="8" t="s">
        <v>12</v>
      </c>
      <c r="G339" s="8" t="s">
        <v>62</v>
      </c>
      <c r="H339" s="9"/>
      <c r="I339" s="9"/>
      <c r="J339" s="9"/>
      <c r="K339" s="9"/>
      <c r="L339" s="9"/>
      <c r="M339" s="9"/>
      <c r="N339" s="9"/>
      <c r="O339" s="9"/>
      <c r="P339" s="9"/>
    </row>
    <row r="340" ht="30.0" customHeight="1">
      <c r="A340" s="4" t="s">
        <v>64</v>
      </c>
      <c r="B340" s="5" t="s">
        <v>65</v>
      </c>
      <c r="C340" s="6">
        <v>248307.26</v>
      </c>
      <c r="D340" s="7" t="str">
        <f>HYPERLINK("http://www.usrc.it/AppRendiConta/det_311_20160617.pdf","Determina nr. 311 del 17/06/2016")</f>
        <v>Determina nr. 311 del 17/06/2016</v>
      </c>
      <c r="E340" s="8" t="s">
        <v>550</v>
      </c>
      <c r="F340" s="8" t="s">
        <v>12</v>
      </c>
      <c r="G340" s="8" t="s">
        <v>67</v>
      </c>
      <c r="H340" s="9"/>
      <c r="I340" s="9"/>
      <c r="J340" s="9"/>
      <c r="K340" s="9"/>
      <c r="L340" s="9"/>
      <c r="M340" s="9"/>
      <c r="N340" s="9"/>
      <c r="O340" s="9"/>
      <c r="P340" s="9"/>
    </row>
    <row r="341" ht="30.0" customHeight="1">
      <c r="A341" s="4" t="s">
        <v>34</v>
      </c>
      <c r="B341" s="5" t="s">
        <v>35</v>
      </c>
      <c r="C341" s="6">
        <v>990.0</v>
      </c>
      <c r="D341" s="7" t="str">
        <f>HYPERLINK("http://www.usrc.it/AppRendiConta/det_313_20160617.pdf","Determina nr. 313 del 17/06/2016")</f>
        <v>Determina nr. 313 del 17/06/2016</v>
      </c>
      <c r="E341" s="8" t="s">
        <v>551</v>
      </c>
      <c r="F341" s="8" t="s">
        <v>12</v>
      </c>
      <c r="G341" s="8" t="s">
        <v>371</v>
      </c>
      <c r="H341" s="9"/>
      <c r="I341" s="9"/>
      <c r="J341" s="9"/>
      <c r="K341" s="9"/>
      <c r="L341" s="9"/>
      <c r="M341" s="9"/>
      <c r="N341" s="9"/>
      <c r="O341" s="9"/>
      <c r="P341" s="9"/>
    </row>
    <row r="342" ht="30.0" customHeight="1">
      <c r="A342" s="4" t="s">
        <v>34</v>
      </c>
      <c r="B342" s="5" t="s">
        <v>35</v>
      </c>
      <c r="C342" s="6">
        <v>330.0</v>
      </c>
      <c r="D342" s="7" t="str">
        <f>HYPERLINK("http://www.usrc.it/AppRendiConta/det_314_20160617.pdf","Determina nr. 314 del 17/06/2016")</f>
        <v>Determina nr. 314 del 17/06/2016</v>
      </c>
      <c r="E342" s="8" t="s">
        <v>552</v>
      </c>
      <c r="F342" s="8" t="s">
        <v>12</v>
      </c>
      <c r="G342" s="8" t="s">
        <v>371</v>
      </c>
      <c r="H342" s="9"/>
      <c r="I342" s="9"/>
      <c r="J342" s="9"/>
      <c r="K342" s="9"/>
      <c r="L342" s="9"/>
      <c r="M342" s="9"/>
      <c r="N342" s="9"/>
      <c r="O342" s="9"/>
      <c r="P342" s="9"/>
    </row>
    <row r="343" ht="30.0" customHeight="1">
      <c r="A343" s="4" t="s">
        <v>493</v>
      </c>
      <c r="B343" s="5" t="s">
        <v>494</v>
      </c>
      <c r="C343" s="6">
        <v>13835.05</v>
      </c>
      <c r="D343" s="7" t="str">
        <f>HYPERLINK("http://www.usrc.it/AppRendiConta/det_315_20160617.pdf","Determina nr. 315 del 17/06/2016")</f>
        <v>Determina nr. 315 del 17/06/2016</v>
      </c>
      <c r="E343" s="8" t="s">
        <v>553</v>
      </c>
      <c r="F343" s="8" t="s">
        <v>12</v>
      </c>
      <c r="G343" s="8" t="s">
        <v>371</v>
      </c>
      <c r="H343" s="9"/>
      <c r="I343" s="9"/>
      <c r="J343" s="9"/>
      <c r="K343" s="9"/>
      <c r="L343" s="9"/>
      <c r="M343" s="9"/>
      <c r="N343" s="9"/>
      <c r="O343" s="9"/>
      <c r="P343" s="9"/>
    </row>
    <row r="344" ht="30.0" customHeight="1">
      <c r="A344" s="4" t="s">
        <v>211</v>
      </c>
      <c r="B344" s="5" t="s">
        <v>212</v>
      </c>
      <c r="C344" s="6">
        <v>29398.39</v>
      </c>
      <c r="D344" s="7" t="str">
        <f>HYPERLINK("http://www.usrc.it/AppRendiConta/det_317_20160617.pdf","Determina nr. 317 del 17/06/2016")</f>
        <v>Determina nr. 317 del 17/06/2016</v>
      </c>
      <c r="E344" s="8" t="s">
        <v>554</v>
      </c>
      <c r="F344" s="8" t="s">
        <v>12</v>
      </c>
      <c r="G344" s="8" t="s">
        <v>67</v>
      </c>
      <c r="H344" s="9"/>
      <c r="I344" s="9"/>
      <c r="J344" s="9"/>
      <c r="K344" s="9"/>
      <c r="L344" s="9"/>
      <c r="M344" s="9"/>
      <c r="N344" s="9"/>
      <c r="O344" s="9"/>
      <c r="P344" s="9"/>
    </row>
    <row r="345" ht="30.0" customHeight="1">
      <c r="A345" s="4" t="s">
        <v>222</v>
      </c>
      <c r="B345" s="5" t="s">
        <v>223</v>
      </c>
      <c r="C345" s="6">
        <v>86724.93</v>
      </c>
      <c r="D345" s="7" t="str">
        <f>HYPERLINK("http://www.usrc.it/AppRendiConta/det_318_20160617.pdf","Determina nr. 318 del 17/06/2016")</f>
        <v>Determina nr. 318 del 17/06/2016</v>
      </c>
      <c r="E345" s="8" t="s">
        <v>555</v>
      </c>
      <c r="F345" s="8" t="s">
        <v>12</v>
      </c>
      <c r="G345" s="8" t="s">
        <v>67</v>
      </c>
      <c r="H345" s="9"/>
      <c r="I345" s="9"/>
      <c r="J345" s="9"/>
      <c r="K345" s="9"/>
      <c r="L345" s="9"/>
      <c r="M345" s="9"/>
      <c r="N345" s="9"/>
      <c r="O345" s="9"/>
      <c r="P345" s="9"/>
    </row>
    <row r="346" ht="30.0" customHeight="1">
      <c r="A346" s="4" t="s">
        <v>556</v>
      </c>
      <c r="B346" s="5" t="s">
        <v>557</v>
      </c>
      <c r="C346" s="6">
        <v>21996.57</v>
      </c>
      <c r="D346" s="7" t="str">
        <f>HYPERLINK("http://www.usrc.it/AppRendiConta/det_321_20160617.pdf","Determina nr. 321 del 17/06/2016")</f>
        <v>Determina nr. 321 del 17/06/2016</v>
      </c>
      <c r="E346" s="8" t="s">
        <v>558</v>
      </c>
      <c r="F346" s="8" t="s">
        <v>12</v>
      </c>
      <c r="G346" s="8" t="s">
        <v>85</v>
      </c>
      <c r="H346" s="9"/>
      <c r="I346" s="9"/>
      <c r="J346" s="9"/>
      <c r="K346" s="9"/>
      <c r="L346" s="9"/>
      <c r="M346" s="9"/>
      <c r="N346" s="9"/>
      <c r="O346" s="9"/>
      <c r="P346" s="9"/>
    </row>
    <row r="347" ht="30.0" customHeight="1">
      <c r="A347" s="4" t="s">
        <v>559</v>
      </c>
      <c r="B347" s="14" t="s">
        <v>560</v>
      </c>
      <c r="C347" s="6">
        <v>55014.86</v>
      </c>
      <c r="D347" s="7" t="str">
        <f>HYPERLINK("http://www.usrc.it/AppRendiConta/det_322_20160617.pdf","Determina nr. 322 del 17/06/2016")</f>
        <v>Determina nr. 322 del 17/06/2016</v>
      </c>
      <c r="E347" s="8" t="s">
        <v>561</v>
      </c>
      <c r="F347" s="8" t="s">
        <v>12</v>
      </c>
      <c r="G347" s="8" t="s">
        <v>529</v>
      </c>
      <c r="H347" s="9"/>
      <c r="I347" s="9"/>
      <c r="J347" s="9"/>
      <c r="K347" s="9"/>
      <c r="L347" s="9"/>
      <c r="M347" s="9"/>
      <c r="N347" s="9"/>
      <c r="O347" s="9"/>
      <c r="P347" s="9"/>
    </row>
    <row r="348" ht="30.0" customHeight="1">
      <c r="A348" s="4" t="s">
        <v>20</v>
      </c>
      <c r="B348" s="14" t="s">
        <v>21</v>
      </c>
      <c r="C348" s="6">
        <v>59673.12</v>
      </c>
      <c r="D348" s="7" t="str">
        <f>HYPERLINK("http://www.usrc.it/AppRendiConta/det_323_20160617.pdf","Determina nr. 323 del 17/06/2016")</f>
        <v>Determina nr. 323 del 17/06/2016</v>
      </c>
      <c r="E348" s="8" t="s">
        <v>562</v>
      </c>
      <c r="F348" s="8" t="s">
        <v>12</v>
      </c>
      <c r="G348" s="8" t="s">
        <v>67</v>
      </c>
      <c r="H348" s="9"/>
      <c r="I348" s="9"/>
      <c r="J348" s="9"/>
      <c r="K348" s="9"/>
      <c r="L348" s="9"/>
      <c r="M348" s="9"/>
      <c r="N348" s="9"/>
      <c r="O348" s="9"/>
      <c r="P348" s="9"/>
    </row>
    <row r="349" ht="30.0" customHeight="1">
      <c r="A349" s="4" t="s">
        <v>493</v>
      </c>
      <c r="B349" s="14" t="s">
        <v>494</v>
      </c>
      <c r="C349" s="6">
        <v>7164.42</v>
      </c>
      <c r="D349" s="7" t="str">
        <f>HYPERLINK("http://www.usrc.it/AppRendiConta/det_324_20160617.pdf","Determina nr. 324 del 17/06/2016")</f>
        <v>Determina nr. 324 del 17/06/2016</v>
      </c>
      <c r="E349" s="8" t="s">
        <v>563</v>
      </c>
      <c r="F349" s="8" t="s">
        <v>12</v>
      </c>
      <c r="G349" s="8" t="s">
        <v>67</v>
      </c>
      <c r="H349" s="9"/>
      <c r="I349" s="9"/>
      <c r="J349" s="9"/>
      <c r="K349" s="9"/>
      <c r="L349" s="9"/>
      <c r="M349" s="9"/>
      <c r="N349" s="9"/>
      <c r="O349" s="9"/>
      <c r="P349" s="9"/>
    </row>
    <row r="350" ht="30.0" customHeight="1">
      <c r="A350" s="4" t="s">
        <v>131</v>
      </c>
      <c r="B350" s="5" t="s">
        <v>132</v>
      </c>
      <c r="C350" s="6">
        <v>148500.0</v>
      </c>
      <c r="D350" s="7" t="str">
        <f>HYPERLINK("http://www.usrc.it/AppRendiConta/det_325_20160617.pdf","Determina nr. 325 del 17/06/2016")</f>
        <v>Determina nr. 325 del 17/06/2016</v>
      </c>
      <c r="E350" s="8" t="s">
        <v>564</v>
      </c>
      <c r="F350" s="8" t="s">
        <v>12</v>
      </c>
      <c r="G350" s="8" t="s">
        <v>67</v>
      </c>
      <c r="H350" s="9"/>
      <c r="I350" s="9"/>
      <c r="J350" s="9"/>
      <c r="K350" s="9"/>
      <c r="L350" s="9"/>
      <c r="M350" s="9"/>
      <c r="N350" s="9"/>
      <c r="O350" s="9"/>
      <c r="P350" s="9"/>
    </row>
    <row r="351" ht="30.0" customHeight="1">
      <c r="A351" s="4" t="s">
        <v>186</v>
      </c>
      <c r="B351" s="5" t="s">
        <v>187</v>
      </c>
      <c r="C351" s="6">
        <v>6802.62</v>
      </c>
      <c r="D351" s="7" t="str">
        <f>HYPERLINK("http://www.usrc.it/AppRendiConta/det_326_20160617.pdf","Determina nr. 326 del 17/06/2016")</f>
        <v>Determina nr. 326 del 17/06/2016</v>
      </c>
      <c r="E351" s="8" t="s">
        <v>565</v>
      </c>
      <c r="F351" s="8" t="s">
        <v>12</v>
      </c>
      <c r="G351" s="8" t="s">
        <v>371</v>
      </c>
      <c r="H351" s="9"/>
      <c r="I351" s="9"/>
      <c r="J351" s="9"/>
      <c r="K351" s="9"/>
      <c r="L351" s="9"/>
      <c r="M351" s="9"/>
      <c r="N351" s="9"/>
      <c r="O351" s="9"/>
      <c r="P351" s="9"/>
    </row>
    <row r="352" ht="30.0" customHeight="1">
      <c r="A352" s="4" t="s">
        <v>508</v>
      </c>
      <c r="B352" s="5" t="s">
        <v>509</v>
      </c>
      <c r="C352" s="6">
        <v>42186.66</v>
      </c>
      <c r="D352" s="7" t="str">
        <f>HYPERLINK("http://www.usrc.it/AppRendiConta/det_327_20160617.pdf","Determina nr. 327 del 17/06/2016")</f>
        <v>Determina nr. 327 del 17/06/2016</v>
      </c>
      <c r="E352" s="8" t="s">
        <v>566</v>
      </c>
      <c r="F352" s="8" t="s">
        <v>12</v>
      </c>
      <c r="G352" s="8" t="s">
        <v>371</v>
      </c>
      <c r="H352" s="9"/>
      <c r="I352" s="9"/>
      <c r="J352" s="9"/>
      <c r="K352" s="9"/>
      <c r="L352" s="9"/>
      <c r="M352" s="9"/>
      <c r="N352" s="9"/>
      <c r="O352" s="9"/>
      <c r="P352" s="9"/>
    </row>
    <row r="353" ht="30.0" customHeight="1">
      <c r="A353" s="4" t="s">
        <v>567</v>
      </c>
      <c r="B353" s="5" t="s">
        <v>568</v>
      </c>
      <c r="C353" s="6">
        <v>28700.0</v>
      </c>
      <c r="D353" s="7" t="str">
        <f>HYPERLINK("http://www.usrc.it/AppRendiConta/det_329_20160617.pdf","Determina nr. 329 del 17/06/2016")</f>
        <v>Determina nr. 329 del 17/06/2016</v>
      </c>
      <c r="E353" s="8" t="s">
        <v>569</v>
      </c>
      <c r="F353" s="8" t="s">
        <v>12</v>
      </c>
      <c r="G353" s="8" t="s">
        <v>85</v>
      </c>
      <c r="H353" s="9"/>
      <c r="I353" s="9"/>
      <c r="J353" s="9"/>
      <c r="K353" s="9"/>
      <c r="L353" s="9"/>
      <c r="M353" s="9"/>
      <c r="N353" s="9"/>
      <c r="O353" s="9"/>
      <c r="P353" s="9"/>
    </row>
    <row r="354" ht="30.0" customHeight="1">
      <c r="A354" s="4" t="s">
        <v>142</v>
      </c>
      <c r="B354" s="5" t="s">
        <v>143</v>
      </c>
      <c r="C354" s="6">
        <v>2579647.2</v>
      </c>
      <c r="D354" s="7" t="str">
        <f>HYPERLINK("http://www.usrc.it/AppRendiConta/det_331_20160621.pdf","Determina nr. 331 del 21/06/2016")</f>
        <v>Determina nr. 331 del 21/06/2016</v>
      </c>
      <c r="E354" s="8" t="s">
        <v>570</v>
      </c>
      <c r="F354" s="8" t="s">
        <v>12</v>
      </c>
      <c r="G354" s="8" t="s">
        <v>531</v>
      </c>
      <c r="H354" s="9"/>
      <c r="I354" s="9"/>
      <c r="J354" s="9"/>
      <c r="K354" s="9"/>
      <c r="L354" s="9"/>
      <c r="M354" s="9"/>
      <c r="N354" s="9"/>
      <c r="O354" s="9"/>
      <c r="P354" s="9"/>
    </row>
    <row r="355" ht="30.0" customHeight="1">
      <c r="A355" s="4" t="s">
        <v>571</v>
      </c>
      <c r="B355" s="5" t="s">
        <v>572</v>
      </c>
      <c r="C355" s="6">
        <v>103477.3</v>
      </c>
      <c r="D355" s="7" t="str">
        <f>HYPERLINK("http://www.usrc.it/AppRendiConta/det_332_20160621.pdf","Determina nr. 332 del 21/06/2016")</f>
        <v>Determina nr. 332 del 21/06/2016</v>
      </c>
      <c r="E355" s="8" t="s">
        <v>573</v>
      </c>
      <c r="F355" s="8" t="s">
        <v>12</v>
      </c>
      <c r="G355" s="8" t="s">
        <v>62</v>
      </c>
      <c r="H355" s="9"/>
      <c r="I355" s="9"/>
      <c r="J355" s="9"/>
      <c r="K355" s="9"/>
      <c r="L355" s="9"/>
      <c r="M355" s="9"/>
      <c r="N355" s="9"/>
      <c r="O355" s="9"/>
      <c r="P355" s="9"/>
    </row>
    <row r="356" ht="30.0" customHeight="1">
      <c r="A356" s="4" t="s">
        <v>574</v>
      </c>
      <c r="B356" s="5" t="s">
        <v>575</v>
      </c>
      <c r="C356" s="6">
        <v>81200.0</v>
      </c>
      <c r="D356" s="7" t="str">
        <f>HYPERLINK("http://www.usrc.it/AppRendiConta/det_333_20160621.pdf","Determina nr. 333 del 21/06/2016")</f>
        <v>Determina nr. 333 del 21/06/2016</v>
      </c>
      <c r="E356" s="5" t="s">
        <v>576</v>
      </c>
      <c r="F356" s="8" t="s">
        <v>12</v>
      </c>
      <c r="G356" s="8" t="s">
        <v>85</v>
      </c>
      <c r="H356" s="9"/>
      <c r="I356" s="9"/>
      <c r="J356" s="9"/>
      <c r="K356" s="9"/>
      <c r="L356" s="9"/>
      <c r="M356" s="9"/>
      <c r="N356" s="9"/>
      <c r="O356" s="9"/>
      <c r="P356" s="9"/>
    </row>
    <row r="357" ht="30.0" customHeight="1">
      <c r="A357" s="4" t="s">
        <v>292</v>
      </c>
      <c r="B357" s="5" t="s">
        <v>293</v>
      </c>
      <c r="C357" s="6">
        <v>909516.13</v>
      </c>
      <c r="D357" s="7" t="str">
        <f>HYPERLINK("http://www.usrc.it/AppRendiConta/det_334_20160621.pdf","Determina nr. 334 del 21/06/2016")</f>
        <v>Determina nr. 334 del 21/06/2016</v>
      </c>
      <c r="E357" s="8" t="s">
        <v>577</v>
      </c>
      <c r="F357" s="8" t="s">
        <v>12</v>
      </c>
      <c r="G357" s="8" t="s">
        <v>85</v>
      </c>
      <c r="H357" s="9"/>
      <c r="I357" s="9"/>
      <c r="J357" s="9"/>
      <c r="K357" s="9"/>
      <c r="L357" s="9"/>
      <c r="M357" s="9"/>
      <c r="N357" s="9"/>
      <c r="O357" s="9"/>
      <c r="P357" s="9"/>
    </row>
    <row r="358" ht="30.0" customHeight="1">
      <c r="A358" s="4" t="s">
        <v>241</v>
      </c>
      <c r="B358" s="5" t="s">
        <v>242</v>
      </c>
      <c r="C358" s="6">
        <v>9280712.22</v>
      </c>
      <c r="D358" s="7" t="str">
        <f>HYPERLINK("http://www.usrc.it/AppRendiConta/det_336_20160621.pdf","Determina nr. 336 del 21/06/2016")</f>
        <v>Determina nr. 336 del 21/06/2016</v>
      </c>
      <c r="E358" s="8" t="s">
        <v>578</v>
      </c>
      <c r="F358" s="8" t="s">
        <v>12</v>
      </c>
      <c r="G358" s="8" t="s">
        <v>531</v>
      </c>
      <c r="H358" s="9"/>
      <c r="I358" s="9"/>
      <c r="J358" s="9"/>
      <c r="K358" s="9"/>
      <c r="L358" s="9"/>
      <c r="M358" s="9"/>
      <c r="N358" s="9"/>
      <c r="O358" s="9"/>
      <c r="P358" s="9"/>
    </row>
    <row r="359" ht="30.0" customHeight="1">
      <c r="A359" s="4" t="s">
        <v>579</v>
      </c>
      <c r="B359" s="14" t="s">
        <v>580</v>
      </c>
      <c r="C359" s="6">
        <v>73692.62</v>
      </c>
      <c r="D359" s="7" t="str">
        <f>HYPERLINK("http://www.usrc.it/AppRendiConta/det_337_20160621.pdf","Determina nr. 337 del 21/06/2016")</f>
        <v>Determina nr. 337 del 21/06/2016</v>
      </c>
      <c r="E359" s="8" t="s">
        <v>581</v>
      </c>
      <c r="F359" s="8" t="s">
        <v>12</v>
      </c>
      <c r="G359" s="8" t="s">
        <v>529</v>
      </c>
      <c r="H359" s="9"/>
      <c r="I359" s="9"/>
      <c r="J359" s="9"/>
      <c r="K359" s="9"/>
      <c r="L359" s="9"/>
      <c r="M359" s="9"/>
      <c r="N359" s="9"/>
      <c r="O359" s="9"/>
      <c r="P359" s="9"/>
    </row>
    <row r="360" ht="30.0" customHeight="1">
      <c r="A360" s="4" t="s">
        <v>161</v>
      </c>
      <c r="B360" s="5" t="s">
        <v>162</v>
      </c>
      <c r="C360" s="6">
        <v>1155857.01</v>
      </c>
      <c r="D360" s="7" t="str">
        <f>HYPERLINK("http://www.usrc.it/AppRendiConta/det_338_20160621.pdf","Determina nr. 338 del 21/06/2016")</f>
        <v>Determina nr. 338 del 21/06/2016</v>
      </c>
      <c r="E360" s="8" t="s">
        <v>582</v>
      </c>
      <c r="F360" s="8" t="s">
        <v>12</v>
      </c>
      <c r="G360" s="8" t="s">
        <v>583</v>
      </c>
      <c r="H360" s="9"/>
      <c r="I360" s="9"/>
      <c r="J360" s="9"/>
      <c r="K360" s="9"/>
      <c r="L360" s="9"/>
      <c r="M360" s="9"/>
      <c r="N360" s="9"/>
      <c r="O360" s="9"/>
      <c r="P360" s="9"/>
    </row>
    <row r="361" ht="30.0" customHeight="1">
      <c r="A361" s="4" t="s">
        <v>226</v>
      </c>
      <c r="B361" s="5" t="s">
        <v>227</v>
      </c>
      <c r="C361" s="6">
        <v>7200.0</v>
      </c>
      <c r="D361" s="7" t="str">
        <f t="shared" ref="D361:D362" si="23">HYPERLINK("http://www.usrc.it/AppRendiConta/det_342_20160622.pdf","Determina nr. 342 del 22/06/2016")</f>
        <v>Determina nr. 342 del 22/06/2016</v>
      </c>
      <c r="E361" s="8" t="s">
        <v>584</v>
      </c>
      <c r="F361" s="8" t="s">
        <v>12</v>
      </c>
      <c r="G361" s="8" t="s">
        <v>460</v>
      </c>
      <c r="H361" s="9"/>
      <c r="I361" s="9"/>
      <c r="J361" s="9"/>
      <c r="K361" s="9"/>
      <c r="L361" s="9"/>
      <c r="M361" s="9"/>
      <c r="N361" s="9"/>
      <c r="O361" s="9"/>
      <c r="P361" s="9"/>
    </row>
    <row r="362" ht="30.0" customHeight="1">
      <c r="A362" s="4" t="s">
        <v>154</v>
      </c>
      <c r="B362" s="5" t="s">
        <v>155</v>
      </c>
      <c r="C362" s="6">
        <v>2961.35</v>
      </c>
      <c r="D362" s="7" t="str">
        <f t="shared" si="23"/>
        <v>Determina nr. 342 del 22/06/2016</v>
      </c>
      <c r="E362" s="8" t="s">
        <v>459</v>
      </c>
      <c r="F362" s="8" t="s">
        <v>12</v>
      </c>
      <c r="G362" s="8" t="s">
        <v>460</v>
      </c>
      <c r="H362" s="9"/>
      <c r="I362" s="9"/>
      <c r="J362" s="9"/>
      <c r="K362" s="9"/>
      <c r="L362" s="9"/>
      <c r="M362" s="9"/>
      <c r="N362" s="9"/>
      <c r="O362" s="9"/>
      <c r="P362" s="9"/>
    </row>
    <row r="363" ht="30.0" customHeight="1">
      <c r="A363" s="4" t="s">
        <v>23</v>
      </c>
      <c r="B363" s="5" t="s">
        <v>24</v>
      </c>
      <c r="C363" s="6">
        <v>10800.0</v>
      </c>
      <c r="D363" s="7" t="str">
        <f t="shared" ref="D363:D364" si="24">HYPERLINK("http://www.usrc.it/AppRendiConta/det_343_20160622.pdf","Determina nr. 343 del 22/06/2016")</f>
        <v>Determina nr. 343 del 22/06/2016</v>
      </c>
      <c r="E363" s="8" t="s">
        <v>585</v>
      </c>
      <c r="F363" s="8" t="s">
        <v>12</v>
      </c>
      <c r="G363" s="8" t="s">
        <v>586</v>
      </c>
      <c r="H363" s="9"/>
      <c r="I363" s="9"/>
      <c r="J363" s="9"/>
      <c r="K363" s="9"/>
      <c r="L363" s="9"/>
      <c r="M363" s="9"/>
      <c r="N363" s="9"/>
      <c r="O363" s="9"/>
      <c r="P363" s="9"/>
    </row>
    <row r="364" ht="30.0" customHeight="1">
      <c r="A364" s="4" t="s">
        <v>43</v>
      </c>
      <c r="B364" s="5" t="s">
        <v>44</v>
      </c>
      <c r="C364" s="6">
        <v>21600.0</v>
      </c>
      <c r="D364" s="7" t="str">
        <f t="shared" si="24"/>
        <v>Determina nr. 343 del 22/06/2016</v>
      </c>
      <c r="E364" s="8" t="s">
        <v>458</v>
      </c>
      <c r="F364" s="8" t="s">
        <v>12</v>
      </c>
      <c r="G364" s="8" t="s">
        <v>586</v>
      </c>
      <c r="H364" s="9"/>
      <c r="I364" s="9"/>
      <c r="J364" s="9"/>
      <c r="K364" s="9"/>
      <c r="L364" s="9"/>
      <c r="M364" s="9"/>
      <c r="N364" s="9"/>
      <c r="O364" s="9"/>
      <c r="P364" s="9"/>
    </row>
    <row r="365" ht="30.0" customHeight="1">
      <c r="A365" s="4" t="s">
        <v>68</v>
      </c>
      <c r="B365" s="5" t="s">
        <v>69</v>
      </c>
      <c r="C365" s="6">
        <v>3457.48</v>
      </c>
      <c r="D365" s="7" t="str">
        <f t="shared" ref="D365:D367" si="25">HYPERLINK("http://www.usrc.it/AppRendiConta/det_344_20160622.pdf","Determina nr. 344 del 22/06/2016")</f>
        <v>Determina nr. 344 del 22/06/2016</v>
      </c>
      <c r="E365" s="8" t="s">
        <v>587</v>
      </c>
      <c r="F365" s="8" t="s">
        <v>12</v>
      </c>
      <c r="G365" s="8" t="s">
        <v>30</v>
      </c>
      <c r="H365" s="9"/>
      <c r="I365" s="9"/>
      <c r="J365" s="9"/>
      <c r="K365" s="9"/>
      <c r="L365" s="9"/>
      <c r="M365" s="9"/>
      <c r="N365" s="9"/>
      <c r="O365" s="9"/>
      <c r="P365" s="9"/>
    </row>
    <row r="366" ht="30.0" customHeight="1">
      <c r="A366" s="4" t="s">
        <v>119</v>
      </c>
      <c r="B366" s="5" t="s">
        <v>120</v>
      </c>
      <c r="C366" s="6">
        <v>976.0</v>
      </c>
      <c r="D366" s="7" t="str">
        <f t="shared" si="25"/>
        <v>Determina nr. 344 del 22/06/2016</v>
      </c>
      <c r="E366" s="8" t="s">
        <v>588</v>
      </c>
      <c r="F366" s="8" t="s">
        <v>12</v>
      </c>
      <c r="G366" s="8" t="s">
        <v>30</v>
      </c>
      <c r="H366" s="9"/>
      <c r="I366" s="9"/>
      <c r="J366" s="9"/>
      <c r="K366" s="9"/>
      <c r="L366" s="9"/>
      <c r="M366" s="9"/>
      <c r="N366" s="9"/>
      <c r="O366" s="9"/>
      <c r="P366" s="9"/>
    </row>
    <row r="367" ht="30.0" customHeight="1">
      <c r="A367" s="4" t="s">
        <v>205</v>
      </c>
      <c r="B367" s="5" t="s">
        <v>206</v>
      </c>
      <c r="C367" s="6">
        <v>610.0</v>
      </c>
      <c r="D367" s="7" t="str">
        <f t="shared" si="25"/>
        <v>Determina nr. 344 del 22/06/2016</v>
      </c>
      <c r="E367" s="8" t="s">
        <v>589</v>
      </c>
      <c r="F367" s="8" t="s">
        <v>12</v>
      </c>
      <c r="G367" s="8" t="s">
        <v>30</v>
      </c>
      <c r="H367" s="9"/>
      <c r="I367" s="9"/>
      <c r="J367" s="9"/>
      <c r="K367" s="9"/>
      <c r="L367" s="9"/>
      <c r="M367" s="9"/>
      <c r="N367" s="9"/>
      <c r="O367" s="9"/>
      <c r="P367" s="9"/>
    </row>
    <row r="368" ht="30.0" customHeight="1">
      <c r="A368" s="4" t="s">
        <v>154</v>
      </c>
      <c r="B368" s="5" t="s">
        <v>155</v>
      </c>
      <c r="C368" s="6">
        <v>400.0</v>
      </c>
      <c r="D368" s="7" t="str">
        <f t="shared" ref="D368:D369" si="26">HYPERLINK("http://www.usrc.it/AppRendiConta/det_345_20160622.pdf","Determina nr. 345 del 22/06/2016")</f>
        <v>Determina nr. 345 del 22/06/2016</v>
      </c>
      <c r="E368" s="5" t="s">
        <v>590</v>
      </c>
      <c r="F368" s="8" t="s">
        <v>12</v>
      </c>
      <c r="G368" s="8" t="s">
        <v>30</v>
      </c>
      <c r="H368" s="9"/>
      <c r="I368" s="9"/>
      <c r="J368" s="9"/>
      <c r="K368" s="9"/>
      <c r="L368" s="9"/>
      <c r="M368" s="9"/>
      <c r="N368" s="9"/>
      <c r="O368" s="9"/>
      <c r="P368" s="9"/>
    </row>
    <row r="369" ht="30.0" customHeight="1">
      <c r="A369" s="4" t="s">
        <v>115</v>
      </c>
      <c r="B369" s="5" t="s">
        <v>116</v>
      </c>
      <c r="C369" s="6">
        <v>3300.0</v>
      </c>
      <c r="D369" s="7" t="str">
        <f t="shared" si="26"/>
        <v>Determina nr. 345 del 22/06/2016</v>
      </c>
      <c r="E369" s="5" t="s">
        <v>489</v>
      </c>
      <c r="F369" s="8" t="s">
        <v>12</v>
      </c>
      <c r="G369" s="8" t="s">
        <v>30</v>
      </c>
      <c r="H369" s="9"/>
      <c r="I369" s="9"/>
      <c r="J369" s="9"/>
      <c r="K369" s="9"/>
      <c r="L369" s="9"/>
      <c r="M369" s="9"/>
      <c r="N369" s="9"/>
      <c r="O369" s="9"/>
      <c r="P369" s="9"/>
    </row>
    <row r="370" ht="30.0" customHeight="1">
      <c r="A370" s="4" t="s">
        <v>68</v>
      </c>
      <c r="B370" s="5" t="s">
        <v>69</v>
      </c>
      <c r="C370" s="6">
        <v>55800.0</v>
      </c>
      <c r="D370" s="7" t="str">
        <f t="shared" ref="D370:D373" si="27">HYPERLINK("http://www.usrc.it/AppRendiConta/det_346_20160622.pdf","Determina nr. 346 del 22/06/2016")</f>
        <v>Determina nr. 346 del 22/06/2016</v>
      </c>
      <c r="E370" s="8" t="s">
        <v>591</v>
      </c>
      <c r="F370" s="8" t="s">
        <v>12</v>
      </c>
      <c r="G370" s="8" t="s">
        <v>30</v>
      </c>
      <c r="H370" s="9"/>
      <c r="I370" s="9"/>
      <c r="J370" s="9"/>
      <c r="K370" s="9"/>
      <c r="L370" s="9"/>
      <c r="M370" s="9"/>
      <c r="N370" s="9"/>
      <c r="O370" s="9"/>
      <c r="P370" s="9"/>
    </row>
    <row r="371" ht="30.0" customHeight="1">
      <c r="A371" s="4" t="s">
        <v>139</v>
      </c>
      <c r="B371" s="5" t="s">
        <v>140</v>
      </c>
      <c r="C371" s="6">
        <v>14800.0</v>
      </c>
      <c r="D371" s="7" t="str">
        <f t="shared" si="27"/>
        <v>Determina nr. 346 del 22/06/2016</v>
      </c>
      <c r="E371" s="8" t="s">
        <v>592</v>
      </c>
      <c r="F371" s="8" t="s">
        <v>12</v>
      </c>
      <c r="G371" s="8" t="s">
        <v>30</v>
      </c>
      <c r="H371" s="9"/>
      <c r="I371" s="9"/>
      <c r="J371" s="9"/>
      <c r="K371" s="9"/>
      <c r="L371" s="9"/>
      <c r="M371" s="9"/>
      <c r="N371" s="9"/>
      <c r="O371" s="9"/>
      <c r="P371" s="9"/>
    </row>
    <row r="372" ht="30.0" customHeight="1">
      <c r="A372" s="4" t="s">
        <v>154</v>
      </c>
      <c r="B372" s="5" t="s">
        <v>155</v>
      </c>
      <c r="C372" s="6">
        <v>1800.0</v>
      </c>
      <c r="D372" s="7" t="str">
        <f t="shared" si="27"/>
        <v>Determina nr. 346 del 22/06/2016</v>
      </c>
      <c r="E372" s="8" t="s">
        <v>468</v>
      </c>
      <c r="F372" s="8" t="s">
        <v>12</v>
      </c>
      <c r="G372" s="8" t="s">
        <v>30</v>
      </c>
      <c r="H372" s="9"/>
      <c r="I372" s="9"/>
      <c r="J372" s="9"/>
      <c r="K372" s="9"/>
      <c r="L372" s="9"/>
      <c r="M372" s="9"/>
      <c r="N372" s="9"/>
      <c r="O372" s="9"/>
      <c r="P372" s="9"/>
    </row>
    <row r="373" ht="30.0" customHeight="1">
      <c r="A373" s="4" t="s">
        <v>34</v>
      </c>
      <c r="B373" s="5" t="s">
        <v>35</v>
      </c>
      <c r="C373" s="6">
        <v>1200.0</v>
      </c>
      <c r="D373" s="7" t="str">
        <f t="shared" si="27"/>
        <v>Determina nr. 346 del 22/06/2016</v>
      </c>
      <c r="E373" s="8" t="s">
        <v>592</v>
      </c>
      <c r="F373" s="8" t="s">
        <v>12</v>
      </c>
      <c r="G373" s="8" t="s">
        <v>30</v>
      </c>
      <c r="H373" s="9"/>
      <c r="I373" s="9"/>
      <c r="J373" s="9"/>
      <c r="K373" s="9"/>
      <c r="L373" s="9"/>
      <c r="M373" s="9"/>
      <c r="N373" s="9"/>
      <c r="O373" s="9"/>
      <c r="P373" s="9"/>
    </row>
    <row r="374" ht="30.0" customHeight="1">
      <c r="A374" s="4" t="s">
        <v>189</v>
      </c>
      <c r="B374" s="5" t="s">
        <v>190</v>
      </c>
      <c r="C374" s="6">
        <v>12600.0</v>
      </c>
      <c r="D374" s="7" t="str">
        <f>HYPERLINK("http://www.usrc.it/AppRendiConta/det_347_20160622.pdf","Determina nr. 347 del 22/06/2016")</f>
        <v>Determina nr. 347 del 22/06/2016</v>
      </c>
      <c r="E374" s="8" t="s">
        <v>593</v>
      </c>
      <c r="F374" s="8" t="s">
        <v>12</v>
      </c>
      <c r="G374" s="8" t="s">
        <v>30</v>
      </c>
      <c r="H374" s="9"/>
      <c r="I374" s="9"/>
      <c r="J374" s="9"/>
      <c r="K374" s="9"/>
      <c r="L374" s="9"/>
      <c r="M374" s="9"/>
      <c r="N374" s="9"/>
      <c r="O374" s="9"/>
      <c r="P374" s="9"/>
    </row>
    <row r="375" ht="30.0" customHeight="1">
      <c r="A375" s="4" t="s">
        <v>56</v>
      </c>
      <c r="B375" s="5" t="s">
        <v>57</v>
      </c>
      <c r="C375" s="6">
        <v>12000.0</v>
      </c>
      <c r="D375" s="7" t="str">
        <f t="shared" ref="D375:D379" si="28">HYPERLINK("http://www.usrc.it/AppRendiConta/det_348_20160622.pdf","Determina nr. 348 del 22/06/2016")</f>
        <v>Determina nr. 348 del 22/06/2016</v>
      </c>
      <c r="E375" s="8" t="s">
        <v>170</v>
      </c>
      <c r="F375" s="8" t="s">
        <v>12</v>
      </c>
      <c r="G375" s="8" t="s">
        <v>30</v>
      </c>
      <c r="H375" s="9"/>
      <c r="I375" s="9"/>
      <c r="J375" s="9"/>
      <c r="K375" s="9"/>
      <c r="L375" s="9"/>
      <c r="M375" s="9"/>
      <c r="N375" s="9"/>
      <c r="O375" s="9"/>
      <c r="P375" s="9"/>
    </row>
    <row r="376" ht="30.0" customHeight="1">
      <c r="A376" s="4" t="s">
        <v>174</v>
      </c>
      <c r="B376" s="5" t="s">
        <v>175</v>
      </c>
      <c r="C376" s="6">
        <v>3400.0</v>
      </c>
      <c r="D376" s="7" t="str">
        <f t="shared" si="28"/>
        <v>Determina nr. 348 del 22/06/2016</v>
      </c>
      <c r="E376" s="8" t="s">
        <v>468</v>
      </c>
      <c r="F376" s="8" t="s">
        <v>12</v>
      </c>
      <c r="G376" s="8" t="s">
        <v>30</v>
      </c>
      <c r="H376" s="9"/>
      <c r="I376" s="9"/>
      <c r="J376" s="9"/>
      <c r="K376" s="9"/>
      <c r="L376" s="9"/>
      <c r="M376" s="9"/>
      <c r="N376" s="9"/>
      <c r="O376" s="9"/>
      <c r="P376" s="9"/>
    </row>
    <row r="377" ht="30.0" customHeight="1">
      <c r="A377" s="4" t="s">
        <v>515</v>
      </c>
      <c r="B377" s="5" t="s">
        <v>516</v>
      </c>
      <c r="C377" s="6">
        <v>100866.67</v>
      </c>
      <c r="D377" s="7" t="str">
        <f t="shared" si="28"/>
        <v>Determina nr. 348 del 22/06/2016</v>
      </c>
      <c r="E377" s="8" t="s">
        <v>594</v>
      </c>
      <c r="F377" s="8" t="s">
        <v>12</v>
      </c>
      <c r="G377" s="8" t="s">
        <v>30</v>
      </c>
      <c r="H377" s="9"/>
      <c r="I377" s="9"/>
      <c r="J377" s="9"/>
      <c r="K377" s="9"/>
      <c r="L377" s="9"/>
      <c r="M377" s="9"/>
      <c r="N377" s="9"/>
      <c r="O377" s="9"/>
      <c r="P377" s="9"/>
    </row>
    <row r="378" ht="30.0" customHeight="1">
      <c r="A378" s="4" t="s">
        <v>186</v>
      </c>
      <c r="B378" s="5" t="s">
        <v>187</v>
      </c>
      <c r="C378" s="6">
        <v>3300.0</v>
      </c>
      <c r="D378" s="7" t="str">
        <f t="shared" si="28"/>
        <v>Determina nr. 348 del 22/06/2016</v>
      </c>
      <c r="E378" s="8" t="s">
        <v>595</v>
      </c>
      <c r="F378" s="8" t="s">
        <v>12</v>
      </c>
      <c r="G378" s="8" t="s">
        <v>30</v>
      </c>
      <c r="H378" s="9"/>
      <c r="I378" s="9"/>
      <c r="J378" s="9"/>
      <c r="K378" s="9"/>
      <c r="L378" s="9"/>
      <c r="M378" s="9"/>
      <c r="N378" s="9"/>
      <c r="O378" s="9"/>
      <c r="P378" s="9"/>
    </row>
    <row r="379" ht="30.0" customHeight="1">
      <c r="A379" s="4" t="s">
        <v>189</v>
      </c>
      <c r="B379" s="5" t="s">
        <v>190</v>
      </c>
      <c r="C379" s="6">
        <v>38900.0</v>
      </c>
      <c r="D379" s="7" t="str">
        <f t="shared" si="28"/>
        <v>Determina nr. 348 del 22/06/2016</v>
      </c>
      <c r="E379" s="8" t="s">
        <v>471</v>
      </c>
      <c r="F379" s="8" t="s">
        <v>12</v>
      </c>
      <c r="G379" s="8" t="s">
        <v>30</v>
      </c>
      <c r="H379" s="9"/>
      <c r="I379" s="9"/>
      <c r="J379" s="9"/>
      <c r="K379" s="9"/>
      <c r="L379" s="9"/>
      <c r="M379" s="9"/>
      <c r="N379" s="9"/>
      <c r="O379" s="9"/>
      <c r="P379" s="9"/>
    </row>
    <row r="380" ht="30.0" customHeight="1">
      <c r="A380" s="4" t="s">
        <v>189</v>
      </c>
      <c r="B380" s="5" t="s">
        <v>190</v>
      </c>
      <c r="C380" s="6">
        <v>7759.2</v>
      </c>
      <c r="D380" s="7" t="str">
        <f>HYPERLINK("http://www.usrc.it/AppRendiConta/det_349_20160622.pdf","Determina nr. 349 del 22/06/2016")</f>
        <v>Determina nr. 349 del 22/06/2016</v>
      </c>
      <c r="E380" s="8" t="s">
        <v>596</v>
      </c>
      <c r="F380" s="8" t="s">
        <v>12</v>
      </c>
      <c r="G380" s="8" t="s">
        <v>30</v>
      </c>
      <c r="H380" s="9"/>
      <c r="I380" s="9"/>
      <c r="J380" s="9"/>
      <c r="K380" s="9"/>
      <c r="L380" s="9"/>
      <c r="M380" s="9"/>
      <c r="N380" s="9"/>
      <c r="O380" s="9"/>
      <c r="P380" s="9"/>
    </row>
    <row r="381" ht="30.0" customHeight="1">
      <c r="A381" s="4" t="s">
        <v>148</v>
      </c>
      <c r="B381" s="5" t="s">
        <v>149</v>
      </c>
      <c r="C381" s="6">
        <v>36000.0</v>
      </c>
      <c r="D381" s="7" t="str">
        <f>HYPERLINK("http://www.usrc.it/AppRendiConta/det_350_20160622.pdf","Determina nr. 350 del 22/06/2016")</f>
        <v>Determina nr. 350 del 22/06/2016</v>
      </c>
      <c r="E381" s="8" t="s">
        <v>463</v>
      </c>
      <c r="F381" s="8" t="s">
        <v>12</v>
      </c>
      <c r="G381" s="8" t="s">
        <v>586</v>
      </c>
      <c r="H381" s="9"/>
      <c r="I381" s="9"/>
      <c r="J381" s="9"/>
      <c r="K381" s="9"/>
      <c r="L381" s="9"/>
      <c r="M381" s="9"/>
      <c r="N381" s="9"/>
      <c r="O381" s="9"/>
      <c r="P381" s="9"/>
    </row>
    <row r="382" ht="30.0" customHeight="1">
      <c r="A382" s="4" t="s">
        <v>567</v>
      </c>
      <c r="B382" s="5" t="s">
        <v>568</v>
      </c>
      <c r="C382" s="6">
        <v>12818.4</v>
      </c>
      <c r="D382" s="7" t="str">
        <f>HYPERLINK("http://www.usrc.it/AppRendiConta/det_359_20160629.pdf","Determina nr. 359 del 29/06/2016")</f>
        <v>Determina nr. 359 del 29/06/2016</v>
      </c>
      <c r="E382" s="8" t="s">
        <v>597</v>
      </c>
      <c r="F382" s="8" t="s">
        <v>12</v>
      </c>
      <c r="G382" s="8" t="s">
        <v>67</v>
      </c>
      <c r="H382" s="9"/>
      <c r="I382" s="9"/>
      <c r="J382" s="9"/>
      <c r="K382" s="9"/>
      <c r="L382" s="9"/>
      <c r="M382" s="9"/>
      <c r="N382" s="9"/>
      <c r="O382" s="9"/>
      <c r="P382" s="9"/>
    </row>
    <row r="383" ht="30.0" customHeight="1">
      <c r="A383" s="4" t="s">
        <v>107</v>
      </c>
      <c r="B383" s="5" t="s">
        <v>108</v>
      </c>
      <c r="C383" s="6">
        <v>32258.29</v>
      </c>
      <c r="D383" s="7" t="str">
        <f>HYPERLINK("http://www.usrc.it/AppRendiConta/det_360_20160629.pdf","Determina nr. 360 del 29/06/2016")</f>
        <v>Determina nr. 360 del 29/06/2016</v>
      </c>
      <c r="E383" s="8" t="s">
        <v>598</v>
      </c>
      <c r="F383" s="8" t="s">
        <v>12</v>
      </c>
      <c r="G383" s="8" t="s">
        <v>67</v>
      </c>
      <c r="H383" s="9"/>
      <c r="I383" s="9"/>
      <c r="J383" s="9"/>
      <c r="K383" s="9"/>
      <c r="L383" s="9"/>
      <c r="M383" s="9"/>
      <c r="N383" s="9"/>
      <c r="O383" s="9"/>
      <c r="P383" s="9"/>
    </row>
    <row r="384" ht="30.0" customHeight="1">
      <c r="A384" s="4" t="s">
        <v>508</v>
      </c>
      <c r="B384" s="5" t="s">
        <v>509</v>
      </c>
      <c r="C384" s="6">
        <v>2850.74</v>
      </c>
      <c r="D384" s="7" t="str">
        <f>HYPERLINK("http://www.usrc.it/AppRendiConta/det_361_20160629.pdf","Determina nr. 361 del 29/06/2016")</f>
        <v>Determina nr. 361 del 29/06/2016</v>
      </c>
      <c r="E384" s="8" t="s">
        <v>599</v>
      </c>
      <c r="F384" s="8" t="s">
        <v>12</v>
      </c>
      <c r="G384" s="8" t="s">
        <v>371</v>
      </c>
      <c r="H384" s="9"/>
      <c r="I384" s="9"/>
      <c r="J384" s="9"/>
      <c r="K384" s="9"/>
      <c r="L384" s="9"/>
      <c r="M384" s="9"/>
      <c r="N384" s="9"/>
      <c r="O384" s="9"/>
      <c r="P384" s="9"/>
    </row>
    <row r="385" ht="30.0" customHeight="1">
      <c r="A385" s="4" t="s">
        <v>107</v>
      </c>
      <c r="B385" s="5" t="s">
        <v>108</v>
      </c>
      <c r="C385" s="6">
        <v>49144.52</v>
      </c>
      <c r="D385" s="7" t="str">
        <f>HYPERLINK("http://www.usrc.it/AppRendiConta/det_362_20160629.pdf","Determina nr. 362 del 29/06/2016")</f>
        <v>Determina nr. 362 del 29/06/2016</v>
      </c>
      <c r="E385" s="8" t="s">
        <v>600</v>
      </c>
      <c r="F385" s="8" t="s">
        <v>12</v>
      </c>
      <c r="G385" s="8" t="s">
        <v>371</v>
      </c>
      <c r="H385" s="9"/>
      <c r="I385" s="9"/>
      <c r="J385" s="9"/>
      <c r="K385" s="9"/>
      <c r="L385" s="9"/>
      <c r="M385" s="9"/>
      <c r="N385" s="9"/>
      <c r="O385" s="9"/>
      <c r="P385" s="9"/>
    </row>
    <row r="386" ht="30.0" customHeight="1">
      <c r="A386" s="4" t="s">
        <v>107</v>
      </c>
      <c r="B386" s="5" t="s">
        <v>108</v>
      </c>
      <c r="C386" s="6">
        <v>86711.15</v>
      </c>
      <c r="D386" s="7" t="str">
        <f>HYPERLINK("http://www.usrc.it/AppRendiConta/det_363_20160629.pdf","Determina nr. 363 del 29/06/2016")</f>
        <v>Determina nr. 363 del 29/06/2016</v>
      </c>
      <c r="E386" s="8" t="s">
        <v>601</v>
      </c>
      <c r="F386" s="8" t="s">
        <v>12</v>
      </c>
      <c r="G386" s="8" t="s">
        <v>67</v>
      </c>
      <c r="H386" s="9"/>
      <c r="I386" s="9"/>
      <c r="J386" s="9"/>
      <c r="K386" s="9"/>
      <c r="L386" s="9"/>
      <c r="M386" s="9"/>
      <c r="N386" s="9"/>
      <c r="O386" s="9"/>
      <c r="P386" s="9"/>
    </row>
    <row r="387" ht="30.0" customHeight="1">
      <c r="A387" s="4" t="s">
        <v>107</v>
      </c>
      <c r="B387" s="5" t="s">
        <v>108</v>
      </c>
      <c r="C387" s="6">
        <v>82485.73</v>
      </c>
      <c r="D387" s="7" t="str">
        <f>HYPERLINK("http://www.usrc.it/AppRendiConta/det_369_20160701.pdf","Determina nr. 369 del 01/07/2016")</f>
        <v>Determina nr. 369 del 01/07/2016</v>
      </c>
      <c r="E387" s="8" t="s">
        <v>602</v>
      </c>
      <c r="F387" s="8" t="s">
        <v>12</v>
      </c>
      <c r="G387" s="8" t="s">
        <v>67</v>
      </c>
      <c r="H387" s="9"/>
      <c r="I387" s="9"/>
      <c r="J387" s="9"/>
      <c r="K387" s="9"/>
      <c r="L387" s="9"/>
      <c r="M387" s="9"/>
      <c r="N387" s="9"/>
      <c r="O387" s="9"/>
      <c r="P387" s="9"/>
    </row>
    <row r="388" ht="30.0" customHeight="1">
      <c r="A388" s="4" t="s">
        <v>34</v>
      </c>
      <c r="B388" s="5" t="s">
        <v>35</v>
      </c>
      <c r="C388" s="6">
        <v>570.0</v>
      </c>
      <c r="D388" s="7" t="str">
        <f>HYPERLINK("http://www.usrc.it/AppRendiConta/det_370_20160704.pdf","Determina nr. 370 del 04/07/2016")</f>
        <v>Determina nr. 370 del 04/07/2016</v>
      </c>
      <c r="E388" s="8" t="s">
        <v>603</v>
      </c>
      <c r="F388" s="8" t="s">
        <v>12</v>
      </c>
      <c r="G388" s="8" t="s">
        <v>371</v>
      </c>
      <c r="H388" s="9"/>
      <c r="I388" s="9"/>
      <c r="J388" s="9"/>
      <c r="K388" s="9"/>
      <c r="L388" s="9"/>
      <c r="M388" s="9"/>
      <c r="N388" s="9"/>
      <c r="O388" s="9"/>
      <c r="P388" s="9"/>
    </row>
    <row r="389" ht="30.0" customHeight="1">
      <c r="A389" s="4" t="s">
        <v>80</v>
      </c>
      <c r="B389" s="5" t="s">
        <v>81</v>
      </c>
      <c r="C389" s="6">
        <v>35319.93</v>
      </c>
      <c r="D389" s="7" t="str">
        <f>HYPERLINK("http://www.usrc.it/AppRendiConta/det_376_20160706.pdf","Determina nr. 376 del 06/07/2016")</f>
        <v>Determina nr. 376 del 06/07/2016</v>
      </c>
      <c r="E389" s="8" t="s">
        <v>604</v>
      </c>
      <c r="F389" s="8" t="s">
        <v>12</v>
      </c>
      <c r="G389" s="8" t="s">
        <v>529</v>
      </c>
      <c r="H389" s="9"/>
      <c r="I389" s="9"/>
      <c r="J389" s="9"/>
      <c r="K389" s="9"/>
      <c r="L389" s="9"/>
      <c r="M389" s="9"/>
      <c r="N389" s="9"/>
      <c r="O389" s="9"/>
      <c r="P389" s="9"/>
    </row>
    <row r="390" ht="30.0" customHeight="1">
      <c r="A390" s="4" t="s">
        <v>361</v>
      </c>
      <c r="B390" s="5" t="s">
        <v>362</v>
      </c>
      <c r="C390" s="6">
        <v>192000.0</v>
      </c>
      <c r="D390" s="7" t="str">
        <f>HYPERLINK("http://www.usrc.it/AppRendiConta/det_377_20160706.pdf","Determina nr. 377 del 06/07/2016")</f>
        <v>Determina nr. 377 del 06/07/2016</v>
      </c>
      <c r="E390" s="8" t="s">
        <v>605</v>
      </c>
      <c r="F390" s="8" t="s">
        <v>12</v>
      </c>
      <c r="G390" s="8" t="s">
        <v>67</v>
      </c>
      <c r="H390" s="9"/>
      <c r="I390" s="9"/>
      <c r="J390" s="9"/>
      <c r="K390" s="9"/>
      <c r="L390" s="9"/>
      <c r="M390" s="9"/>
      <c r="N390" s="9"/>
      <c r="O390" s="9"/>
      <c r="P390" s="9"/>
    </row>
    <row r="391" ht="30.0" customHeight="1">
      <c r="A391" s="4" t="s">
        <v>135</v>
      </c>
      <c r="B391" s="5" t="s">
        <v>136</v>
      </c>
      <c r="C391" s="6">
        <v>3609269.57</v>
      </c>
      <c r="D391" s="7" t="str">
        <f>HYPERLINK("http://www.usrc.it/AppRendiConta/det_380_20160707.pdf","Determina nr. 380 del 07/07/2016")</f>
        <v>Determina nr. 380 del 07/07/2016</v>
      </c>
      <c r="E391" s="8" t="s">
        <v>606</v>
      </c>
      <c r="F391" s="8" t="s">
        <v>12</v>
      </c>
      <c r="G391" s="8" t="s">
        <v>607</v>
      </c>
      <c r="H391" s="9"/>
      <c r="I391" s="9"/>
      <c r="J391" s="9"/>
      <c r="K391" s="9"/>
      <c r="L391" s="9"/>
      <c r="M391" s="9"/>
      <c r="N391" s="9"/>
      <c r="O391" s="9"/>
      <c r="P391" s="9"/>
    </row>
    <row r="392" ht="30.0" customHeight="1">
      <c r="A392" s="4" t="s">
        <v>327</v>
      </c>
      <c r="B392" s="5" t="s">
        <v>328</v>
      </c>
      <c r="C392" s="6">
        <v>4337584.47</v>
      </c>
      <c r="D392" s="7" t="str">
        <f>HYPERLINK("http://www.usrc.it/AppRendiConta/det_381_20160711.pdf","Determina nr. 381 del 11/07/2016")</f>
        <v>Determina nr. 381 del 11/07/2016</v>
      </c>
      <c r="E392" s="8" t="s">
        <v>608</v>
      </c>
      <c r="F392" s="8" t="s">
        <v>12</v>
      </c>
      <c r="G392" s="8" t="s">
        <v>609</v>
      </c>
      <c r="H392" s="9"/>
      <c r="I392" s="9"/>
      <c r="J392" s="9"/>
      <c r="K392" s="9"/>
      <c r="L392" s="9"/>
      <c r="M392" s="9"/>
      <c r="N392" s="9"/>
      <c r="O392" s="9"/>
      <c r="P392" s="9"/>
    </row>
    <row r="393" ht="30.0" customHeight="1">
      <c r="A393" s="4" t="s">
        <v>171</v>
      </c>
      <c r="B393" s="5" t="s">
        <v>172</v>
      </c>
      <c r="C393" s="6">
        <v>934736.82</v>
      </c>
      <c r="D393" s="7" t="str">
        <f>HYPERLINK("http://www.usrc.it/AppRendiConta/det_384_20160711.pdf","Determina nr. 384 del 11/07/2016")</f>
        <v>Determina nr. 384 del 11/07/2016</v>
      </c>
      <c r="E393" s="8" t="s">
        <v>610</v>
      </c>
      <c r="F393" s="8" t="s">
        <v>12</v>
      </c>
      <c r="G393" s="8" t="s">
        <v>611</v>
      </c>
      <c r="H393" s="9"/>
      <c r="I393" s="9"/>
      <c r="J393" s="9"/>
      <c r="K393" s="9"/>
      <c r="L393" s="9"/>
      <c r="M393" s="9"/>
      <c r="N393" s="9"/>
      <c r="O393" s="9"/>
      <c r="P393" s="9"/>
    </row>
    <row r="394" ht="30.0" customHeight="1">
      <c r="A394" s="4" t="s">
        <v>361</v>
      </c>
      <c r="B394" s="5" t="s">
        <v>362</v>
      </c>
      <c r="C394" s="6">
        <v>3368146.38</v>
      </c>
      <c r="D394" s="7" t="str">
        <f>HYPERLINK("http://www.usrc.it/AppRendiConta/det_385_20160712.pdf","Determina nr. 385 del 12/07/2016")</f>
        <v>Determina nr. 385 del 12/07/2016</v>
      </c>
      <c r="E394" s="8" t="s">
        <v>612</v>
      </c>
      <c r="F394" s="8" t="s">
        <v>12</v>
      </c>
      <c r="G394" s="8" t="s">
        <v>613</v>
      </c>
      <c r="H394" s="9"/>
      <c r="I394" s="9"/>
      <c r="J394" s="9"/>
      <c r="K394" s="9"/>
      <c r="L394" s="9"/>
      <c r="M394" s="9"/>
      <c r="N394" s="9"/>
      <c r="O394" s="9"/>
      <c r="P394" s="9"/>
    </row>
    <row r="395" ht="30.0" customHeight="1">
      <c r="A395" s="4" t="s">
        <v>299</v>
      </c>
      <c r="B395" s="5" t="s">
        <v>300</v>
      </c>
      <c r="C395" s="6">
        <v>45063.46</v>
      </c>
      <c r="D395" s="7" t="str">
        <f>HYPERLINK("http://www.usrc.it/AppRendiConta/det_393_20160715.pdf","Determina nr. 393 del 15/07/2016")</f>
        <v>Determina nr. 393 del 15/07/2016</v>
      </c>
      <c r="E395" s="8" t="s">
        <v>614</v>
      </c>
      <c r="F395" s="8" t="s">
        <v>12</v>
      </c>
      <c r="G395" s="8" t="s">
        <v>609</v>
      </c>
      <c r="H395" s="9"/>
      <c r="I395" s="9"/>
      <c r="J395" s="9"/>
      <c r="K395" s="9"/>
      <c r="L395" s="9"/>
      <c r="M395" s="9"/>
      <c r="N395" s="9"/>
      <c r="O395" s="9"/>
      <c r="P395" s="9"/>
    </row>
    <row r="396" ht="30.0" customHeight="1">
      <c r="A396" s="4" t="s">
        <v>123</v>
      </c>
      <c r="B396" s="5" t="s">
        <v>124</v>
      </c>
      <c r="C396" s="6">
        <v>25544.9</v>
      </c>
      <c r="D396" s="7" t="str">
        <f>HYPERLINK("http://www.usrc.it/AppRendiConta/det_401_20160718.pdf","Determina nr. 401 del 18/07/2016")</f>
        <v>Determina nr. 401 del 18/07/2016</v>
      </c>
      <c r="E396" s="8" t="s">
        <v>615</v>
      </c>
      <c r="F396" s="8" t="s">
        <v>12</v>
      </c>
      <c r="G396" s="8" t="s">
        <v>67</v>
      </c>
      <c r="H396" s="9"/>
      <c r="I396" s="9"/>
      <c r="J396" s="9"/>
      <c r="K396" s="9"/>
      <c r="L396" s="9"/>
      <c r="M396" s="9"/>
      <c r="N396" s="9"/>
      <c r="O396" s="9"/>
      <c r="P396" s="9"/>
    </row>
    <row r="397" ht="30.0" customHeight="1">
      <c r="A397" s="4" t="s">
        <v>361</v>
      </c>
      <c r="B397" s="5" t="s">
        <v>362</v>
      </c>
      <c r="C397" s="6">
        <v>30500.0</v>
      </c>
      <c r="D397" s="7" t="str">
        <f>HYPERLINK("http://www.usrc.it/AppRendiConta/det_402_20160718.pdf","Determina nr. 402 del 18/07/2016")</f>
        <v>Determina nr. 402 del 18/07/2016</v>
      </c>
      <c r="E397" s="8" t="s">
        <v>616</v>
      </c>
      <c r="F397" s="8" t="s">
        <v>12</v>
      </c>
      <c r="G397" s="8" t="s">
        <v>371</v>
      </c>
      <c r="H397" s="9"/>
      <c r="I397" s="9"/>
      <c r="J397" s="9"/>
      <c r="K397" s="9"/>
      <c r="L397" s="9"/>
      <c r="M397" s="9"/>
      <c r="N397" s="9"/>
      <c r="O397" s="9"/>
      <c r="P397" s="9"/>
    </row>
    <row r="398" ht="30.0" customHeight="1">
      <c r="A398" s="4" t="s">
        <v>205</v>
      </c>
      <c r="B398" s="5" t="s">
        <v>206</v>
      </c>
      <c r="C398" s="6">
        <v>24100.0</v>
      </c>
      <c r="D398" s="7" t="str">
        <f>HYPERLINK("http://www.usrc.it/AppRendiConta/det_407_20160719.pdf","Determina nr. 407 del 19/07/2016")</f>
        <v>Determina nr. 407 del 19/07/2016</v>
      </c>
      <c r="E398" s="8" t="s">
        <v>617</v>
      </c>
      <c r="F398" s="8" t="s">
        <v>12</v>
      </c>
      <c r="G398" s="8" t="s">
        <v>618</v>
      </c>
      <c r="H398" s="9"/>
      <c r="I398" s="9"/>
      <c r="J398" s="9"/>
      <c r="K398" s="9"/>
      <c r="L398" s="9"/>
      <c r="M398" s="9"/>
      <c r="N398" s="9"/>
      <c r="O398" s="9"/>
      <c r="P398" s="9"/>
    </row>
    <row r="399" ht="30.0" customHeight="1">
      <c r="A399" s="4" t="s">
        <v>158</v>
      </c>
      <c r="B399" s="5" t="s">
        <v>159</v>
      </c>
      <c r="C399" s="6">
        <v>44850.79</v>
      </c>
      <c r="D399" s="7" t="str">
        <f>HYPERLINK("http://www.usrc.it/AppRendiConta/det_411_20160719.pdf","Determina nr. 411 del 19/07/2016")</f>
        <v>Determina nr. 411 del 19/07/2016</v>
      </c>
      <c r="E399" s="8" t="s">
        <v>619</v>
      </c>
      <c r="F399" s="8" t="s">
        <v>12</v>
      </c>
      <c r="G399" s="8" t="s">
        <v>67</v>
      </c>
      <c r="H399" s="9"/>
      <c r="I399" s="9"/>
      <c r="J399" s="9"/>
      <c r="K399" s="9"/>
      <c r="L399" s="9"/>
      <c r="M399" s="9"/>
      <c r="N399" s="9"/>
      <c r="O399" s="9"/>
      <c r="P399" s="9"/>
    </row>
    <row r="400" ht="30.0" customHeight="1">
      <c r="A400" s="4" t="s">
        <v>377</v>
      </c>
      <c r="B400" s="5" t="s">
        <v>378</v>
      </c>
      <c r="C400" s="6">
        <v>47700.0</v>
      </c>
      <c r="D400" s="7" t="str">
        <f>HYPERLINK("http://www.usrc.it/AppRendiConta/det_412_20160719.pdf","Determina nr. 412 del 19/07/2016")</f>
        <v>Determina nr. 412 del 19/07/2016</v>
      </c>
      <c r="E400" s="8" t="s">
        <v>620</v>
      </c>
      <c r="F400" s="8" t="s">
        <v>12</v>
      </c>
      <c r="G400" s="5" t="s">
        <v>67</v>
      </c>
      <c r="H400" s="9"/>
      <c r="I400" s="9"/>
      <c r="J400" s="9"/>
      <c r="K400" s="9"/>
      <c r="L400" s="9"/>
      <c r="M400" s="9"/>
      <c r="N400" s="9"/>
      <c r="O400" s="9"/>
      <c r="P400" s="9"/>
    </row>
    <row r="401" ht="30.0" customHeight="1">
      <c r="A401" s="4" t="s">
        <v>230</v>
      </c>
      <c r="B401" s="5" t="s">
        <v>231</v>
      </c>
      <c r="C401" s="6">
        <v>12872.55</v>
      </c>
      <c r="D401" s="7" t="str">
        <f>HYPERLINK("http://www.usrc.it/AppRendiConta/det_414_20160719.pdf","Determina nr. 414 del 19/07/2016")</f>
        <v>Determina nr. 414 del 19/07/2016</v>
      </c>
      <c r="E401" s="8" t="s">
        <v>621</v>
      </c>
      <c r="F401" s="8" t="s">
        <v>12</v>
      </c>
      <c r="G401" s="5" t="s">
        <v>67</v>
      </c>
      <c r="H401" s="9"/>
      <c r="I401" s="9"/>
      <c r="J401" s="9"/>
      <c r="K401" s="9"/>
      <c r="L401" s="9"/>
      <c r="M401" s="9"/>
      <c r="N401" s="9"/>
      <c r="O401" s="9"/>
      <c r="P401" s="9"/>
    </row>
    <row r="402" ht="30.0" customHeight="1">
      <c r="A402" s="4" t="s">
        <v>107</v>
      </c>
      <c r="B402" s="5" t="s">
        <v>108</v>
      </c>
      <c r="C402" s="6">
        <v>933.3</v>
      </c>
      <c r="D402" s="7" t="str">
        <f>HYPERLINK("http://www.usrc.it/AppRendiConta/det_416_20160719.pdf","Determina nr. 416 del 19/07/2016")</f>
        <v>Determina nr. 416 del 19/07/2016</v>
      </c>
      <c r="E402" s="8" t="s">
        <v>622</v>
      </c>
      <c r="F402" s="8" t="s">
        <v>12</v>
      </c>
      <c r="G402" s="5" t="s">
        <v>371</v>
      </c>
      <c r="H402" s="9"/>
      <c r="I402" s="9"/>
      <c r="J402" s="9"/>
      <c r="K402" s="9"/>
      <c r="L402" s="9"/>
      <c r="M402" s="9"/>
      <c r="N402" s="9"/>
      <c r="O402" s="9"/>
      <c r="P402" s="9"/>
    </row>
    <row r="403" ht="30.0" customHeight="1">
      <c r="A403" s="4" t="s">
        <v>17</v>
      </c>
      <c r="B403" s="5" t="s">
        <v>18</v>
      </c>
      <c r="C403" s="6">
        <v>137090.01</v>
      </c>
      <c r="D403" s="7" t="str">
        <f>HYPERLINK("http://www.usrc.it/AppRendiConta/det_417_20160719.pdf","Determina nr. 417 del 19/07/2016")</f>
        <v>Determina nr. 417 del 19/07/2016</v>
      </c>
      <c r="E403" s="8" t="s">
        <v>623</v>
      </c>
      <c r="F403" s="8" t="s">
        <v>12</v>
      </c>
      <c r="G403" s="5" t="s">
        <v>67</v>
      </c>
      <c r="H403" s="9"/>
      <c r="I403" s="9"/>
      <c r="J403" s="9"/>
      <c r="K403" s="9"/>
      <c r="L403" s="9"/>
      <c r="M403" s="9"/>
      <c r="N403" s="9"/>
      <c r="O403" s="9"/>
      <c r="P403" s="9"/>
    </row>
    <row r="404" ht="30.0" customHeight="1">
      <c r="A404" s="4" t="s">
        <v>211</v>
      </c>
      <c r="B404" s="5" t="s">
        <v>212</v>
      </c>
      <c r="C404" s="6">
        <v>2747.58</v>
      </c>
      <c r="D404" s="7" t="str">
        <f>HYPERLINK("http://www.usrc.it/AppRendiConta/det_418_20160719.pdf","Determina nr. 418 del 19/07/2016")</f>
        <v>Determina nr. 418 del 19/07/2016</v>
      </c>
      <c r="E404" s="8" t="s">
        <v>624</v>
      </c>
      <c r="F404" s="8" t="s">
        <v>12</v>
      </c>
      <c r="G404" s="5" t="s">
        <v>67</v>
      </c>
      <c r="H404" s="9"/>
      <c r="I404" s="9"/>
      <c r="J404" s="9"/>
      <c r="K404" s="9"/>
      <c r="L404" s="9"/>
      <c r="M404" s="9"/>
      <c r="N404" s="9"/>
      <c r="O404" s="9"/>
      <c r="P404" s="9"/>
    </row>
    <row r="405" ht="30.0" customHeight="1">
      <c r="A405" s="4" t="s">
        <v>135</v>
      </c>
      <c r="B405" s="5" t="s">
        <v>136</v>
      </c>
      <c r="C405" s="6">
        <v>6500.0</v>
      </c>
      <c r="D405" s="7" t="str">
        <f t="shared" ref="D405:D411" si="29">HYPERLINK("http://www.usrc.it/AppRendiConta/det_419_20160721.pdf","Determina nr. 419 del 21/07/2016")</f>
        <v>Determina nr. 419 del 21/07/2016</v>
      </c>
      <c r="E405" s="8" t="s">
        <v>625</v>
      </c>
      <c r="F405" s="8" t="s">
        <v>12</v>
      </c>
      <c r="G405" s="5" t="s">
        <v>626</v>
      </c>
      <c r="H405" s="9"/>
      <c r="I405" s="9"/>
      <c r="J405" s="9"/>
      <c r="K405" s="9"/>
      <c r="L405" s="9"/>
      <c r="M405" s="9"/>
      <c r="N405" s="9"/>
      <c r="O405" s="9"/>
      <c r="P405" s="9"/>
    </row>
    <row r="406" ht="30.0" customHeight="1">
      <c r="A406" s="4" t="s">
        <v>17</v>
      </c>
      <c r="B406" s="5" t="s">
        <v>18</v>
      </c>
      <c r="C406" s="6">
        <v>2600.0</v>
      </c>
      <c r="D406" s="7" t="str">
        <f t="shared" si="29"/>
        <v>Determina nr. 419 del 21/07/2016</v>
      </c>
      <c r="E406" s="8" t="s">
        <v>627</v>
      </c>
      <c r="F406" s="8" t="s">
        <v>12</v>
      </c>
      <c r="G406" s="5" t="s">
        <v>626</v>
      </c>
      <c r="H406" s="9"/>
      <c r="I406" s="9"/>
      <c r="J406" s="9"/>
      <c r="K406" s="9"/>
      <c r="L406" s="9"/>
      <c r="M406" s="9"/>
      <c r="N406" s="9"/>
      <c r="O406" s="9"/>
      <c r="P406" s="9"/>
    </row>
    <row r="407" ht="30.0" customHeight="1">
      <c r="A407" s="4" t="s">
        <v>72</v>
      </c>
      <c r="B407" s="5" t="s">
        <v>73</v>
      </c>
      <c r="C407" s="6">
        <v>19893.55</v>
      </c>
      <c r="D407" s="7" t="str">
        <f t="shared" si="29"/>
        <v>Determina nr. 419 del 21/07/2016</v>
      </c>
      <c r="E407" s="8" t="s">
        <v>628</v>
      </c>
      <c r="F407" s="8" t="s">
        <v>12</v>
      </c>
      <c r="G407" s="5" t="s">
        <v>626</v>
      </c>
      <c r="H407" s="9"/>
      <c r="I407" s="9"/>
      <c r="J407" s="9"/>
      <c r="K407" s="9"/>
      <c r="L407" s="9"/>
      <c r="M407" s="9"/>
      <c r="N407" s="9"/>
      <c r="O407" s="9"/>
      <c r="P407" s="9"/>
    </row>
    <row r="408" ht="30.0" customHeight="1">
      <c r="A408" s="4" t="s">
        <v>148</v>
      </c>
      <c r="B408" s="5" t="s">
        <v>149</v>
      </c>
      <c r="C408" s="6">
        <v>1200.0</v>
      </c>
      <c r="D408" s="7" t="str">
        <f t="shared" si="29"/>
        <v>Determina nr. 419 del 21/07/2016</v>
      </c>
      <c r="E408" s="8" t="s">
        <v>629</v>
      </c>
      <c r="F408" s="8" t="s">
        <v>12</v>
      </c>
      <c r="G408" s="5" t="s">
        <v>626</v>
      </c>
      <c r="H408" s="9"/>
      <c r="I408" s="9"/>
      <c r="J408" s="9"/>
      <c r="K408" s="9"/>
      <c r="L408" s="9"/>
      <c r="M408" s="9"/>
      <c r="N408" s="9"/>
      <c r="O408" s="9"/>
      <c r="P408" s="9"/>
    </row>
    <row r="409" ht="30.0" customHeight="1">
      <c r="A409" s="4" t="s">
        <v>154</v>
      </c>
      <c r="B409" s="5" t="s">
        <v>155</v>
      </c>
      <c r="C409" s="6">
        <v>1800.0</v>
      </c>
      <c r="D409" s="7" t="str">
        <f t="shared" si="29"/>
        <v>Determina nr. 419 del 21/07/2016</v>
      </c>
      <c r="E409" s="8" t="s">
        <v>625</v>
      </c>
      <c r="F409" s="8" t="s">
        <v>12</v>
      </c>
      <c r="G409" s="5" t="s">
        <v>626</v>
      </c>
      <c r="H409" s="9"/>
      <c r="I409" s="9"/>
      <c r="J409" s="9"/>
      <c r="K409" s="9"/>
      <c r="L409" s="9"/>
      <c r="M409" s="9"/>
      <c r="N409" s="9"/>
      <c r="O409" s="9"/>
      <c r="P409" s="9"/>
    </row>
    <row r="410" ht="30.0" customHeight="1">
      <c r="A410" s="4" t="s">
        <v>59</v>
      </c>
      <c r="B410" s="5" t="s">
        <v>60</v>
      </c>
      <c r="C410" s="6">
        <v>61400.0</v>
      </c>
      <c r="D410" s="7" t="str">
        <f t="shared" si="29"/>
        <v>Determina nr. 419 del 21/07/2016</v>
      </c>
      <c r="E410" s="8" t="s">
        <v>630</v>
      </c>
      <c r="F410" s="8" t="s">
        <v>12</v>
      </c>
      <c r="G410" s="5" t="s">
        <v>626</v>
      </c>
      <c r="H410" s="9"/>
      <c r="I410" s="9"/>
      <c r="J410" s="9"/>
      <c r="K410" s="9"/>
      <c r="L410" s="9"/>
      <c r="M410" s="9"/>
      <c r="N410" s="9"/>
      <c r="O410" s="9"/>
      <c r="P410" s="9"/>
    </row>
    <row r="411" ht="30.0" customHeight="1">
      <c r="A411" s="4" t="s">
        <v>34</v>
      </c>
      <c r="B411" s="5" t="s">
        <v>35</v>
      </c>
      <c r="C411" s="6">
        <v>600.0</v>
      </c>
      <c r="D411" s="7" t="str">
        <f t="shared" si="29"/>
        <v>Determina nr. 419 del 21/07/2016</v>
      </c>
      <c r="E411" s="8" t="s">
        <v>631</v>
      </c>
      <c r="F411" s="8" t="s">
        <v>12</v>
      </c>
      <c r="G411" s="5" t="s">
        <v>626</v>
      </c>
      <c r="H411" s="9"/>
      <c r="I411" s="9"/>
      <c r="J411" s="9"/>
      <c r="K411" s="9"/>
      <c r="L411" s="9"/>
      <c r="M411" s="9"/>
      <c r="N411" s="9"/>
      <c r="O411" s="9"/>
      <c r="P411" s="9"/>
    </row>
    <row r="412" ht="30.0" customHeight="1">
      <c r="A412" s="4" t="s">
        <v>53</v>
      </c>
      <c r="B412" s="5" t="s">
        <v>54</v>
      </c>
      <c r="C412" s="6">
        <v>1500.0</v>
      </c>
      <c r="D412" s="7" t="str">
        <f t="shared" ref="D412:D421" si="30">HYPERLINK("http://www.usrc.it/AppRendiConta/det_420_20160721.pdf","Determina nr. 420 del 21/07/2016")</f>
        <v>Determina nr. 420 del 21/07/2016</v>
      </c>
      <c r="E412" s="8" t="s">
        <v>632</v>
      </c>
      <c r="F412" s="8" t="s">
        <v>12</v>
      </c>
      <c r="G412" s="5" t="s">
        <v>626</v>
      </c>
      <c r="H412" s="9"/>
      <c r="I412" s="9"/>
      <c r="J412" s="9"/>
      <c r="K412" s="9"/>
      <c r="L412" s="9"/>
      <c r="M412" s="9"/>
      <c r="N412" s="9"/>
      <c r="O412" s="9"/>
      <c r="P412" s="9"/>
    </row>
    <row r="413" ht="30.0" customHeight="1">
      <c r="A413" s="4" t="s">
        <v>171</v>
      </c>
      <c r="B413" s="5" t="s">
        <v>172</v>
      </c>
      <c r="C413" s="6">
        <v>12000.0</v>
      </c>
      <c r="D413" s="7" t="str">
        <f t="shared" si="30"/>
        <v>Determina nr. 420 del 21/07/2016</v>
      </c>
      <c r="E413" s="8" t="s">
        <v>632</v>
      </c>
      <c r="F413" s="8" t="s">
        <v>12</v>
      </c>
      <c r="G413" s="5" t="s">
        <v>626</v>
      </c>
      <c r="H413" s="9"/>
      <c r="I413" s="9"/>
      <c r="J413" s="9"/>
      <c r="K413" s="9"/>
      <c r="L413" s="9"/>
      <c r="M413" s="9"/>
      <c r="N413" s="9"/>
      <c r="O413" s="9"/>
      <c r="P413" s="9"/>
    </row>
    <row r="414" ht="30.0" customHeight="1">
      <c r="A414" s="4" t="s">
        <v>313</v>
      </c>
      <c r="B414" s="5" t="s">
        <v>314</v>
      </c>
      <c r="C414" s="6">
        <v>5600.0</v>
      </c>
      <c r="D414" s="7" t="str">
        <f t="shared" si="30"/>
        <v>Determina nr. 420 del 21/07/2016</v>
      </c>
      <c r="E414" s="8" t="s">
        <v>633</v>
      </c>
      <c r="F414" s="8" t="s">
        <v>12</v>
      </c>
      <c r="G414" s="5" t="s">
        <v>626</v>
      </c>
      <c r="H414" s="9"/>
      <c r="I414" s="9"/>
      <c r="J414" s="9"/>
      <c r="K414" s="9"/>
      <c r="L414" s="9"/>
      <c r="M414" s="9"/>
      <c r="N414" s="9"/>
      <c r="O414" s="9"/>
      <c r="P414" s="9"/>
    </row>
    <row r="415" ht="30.0" customHeight="1">
      <c r="A415" s="4" t="s">
        <v>180</v>
      </c>
      <c r="B415" s="5" t="s">
        <v>181</v>
      </c>
      <c r="C415" s="6">
        <v>13960.0</v>
      </c>
      <c r="D415" s="7" t="str">
        <f t="shared" si="30"/>
        <v>Determina nr. 420 del 21/07/2016</v>
      </c>
      <c r="E415" s="8" t="s">
        <v>634</v>
      </c>
      <c r="F415" s="8" t="s">
        <v>12</v>
      </c>
      <c r="G415" s="5" t="s">
        <v>626</v>
      </c>
      <c r="H415" s="9"/>
      <c r="I415" s="9"/>
      <c r="J415" s="9"/>
      <c r="K415" s="9"/>
      <c r="L415" s="9"/>
      <c r="M415" s="9"/>
      <c r="N415" s="9"/>
      <c r="O415" s="9"/>
      <c r="P415" s="9"/>
    </row>
    <row r="416" ht="30.0" customHeight="1">
      <c r="A416" s="4" t="s">
        <v>186</v>
      </c>
      <c r="B416" s="5" t="s">
        <v>187</v>
      </c>
      <c r="C416" s="6">
        <v>2200.0</v>
      </c>
      <c r="D416" s="7" t="str">
        <f t="shared" si="30"/>
        <v>Determina nr. 420 del 21/07/2016</v>
      </c>
      <c r="E416" s="8" t="s">
        <v>635</v>
      </c>
      <c r="F416" s="8" t="s">
        <v>12</v>
      </c>
      <c r="G416" s="5" t="s">
        <v>626</v>
      </c>
      <c r="H416" s="9"/>
      <c r="I416" s="9"/>
      <c r="J416" s="9"/>
      <c r="K416" s="9"/>
      <c r="L416" s="9"/>
      <c r="M416" s="9"/>
      <c r="N416" s="9"/>
      <c r="O416" s="9"/>
      <c r="P416" s="9"/>
    </row>
    <row r="417" ht="30.0" customHeight="1">
      <c r="A417" s="4" t="s">
        <v>292</v>
      </c>
      <c r="B417" s="5" t="s">
        <v>293</v>
      </c>
      <c r="C417" s="6">
        <v>78873.22</v>
      </c>
      <c r="D417" s="7" t="str">
        <f t="shared" si="30"/>
        <v>Determina nr. 420 del 21/07/2016</v>
      </c>
      <c r="E417" s="8" t="s">
        <v>636</v>
      </c>
      <c r="F417" s="8" t="s">
        <v>12</v>
      </c>
      <c r="G417" s="5" t="s">
        <v>626</v>
      </c>
      <c r="H417" s="9"/>
      <c r="I417" s="9"/>
      <c r="J417" s="9"/>
      <c r="K417" s="9"/>
      <c r="L417" s="9"/>
      <c r="M417" s="9"/>
      <c r="N417" s="9"/>
      <c r="O417" s="9"/>
      <c r="P417" s="9"/>
    </row>
    <row r="418" ht="30.0" customHeight="1">
      <c r="A418" s="4" t="s">
        <v>189</v>
      </c>
      <c r="B418" s="5" t="s">
        <v>190</v>
      </c>
      <c r="C418" s="6">
        <v>2916.67</v>
      </c>
      <c r="D418" s="7" t="str">
        <f t="shared" si="30"/>
        <v>Determina nr. 420 del 21/07/2016</v>
      </c>
      <c r="E418" s="8" t="s">
        <v>637</v>
      </c>
      <c r="F418" s="8" t="s">
        <v>12</v>
      </c>
      <c r="G418" s="5" t="s">
        <v>626</v>
      </c>
      <c r="H418" s="9"/>
      <c r="I418" s="9"/>
      <c r="J418" s="9"/>
      <c r="K418" s="9"/>
      <c r="L418" s="9"/>
      <c r="M418" s="9"/>
      <c r="N418" s="9"/>
      <c r="O418" s="9"/>
      <c r="P418" s="9"/>
    </row>
    <row r="419" ht="30.0" customHeight="1">
      <c r="A419" s="4" t="s">
        <v>195</v>
      </c>
      <c r="B419" s="5" t="s">
        <v>196</v>
      </c>
      <c r="C419" s="6">
        <v>3200.0</v>
      </c>
      <c r="D419" s="7" t="str">
        <f t="shared" si="30"/>
        <v>Determina nr. 420 del 21/07/2016</v>
      </c>
      <c r="E419" s="8" t="s">
        <v>638</v>
      </c>
      <c r="F419" s="8" t="s">
        <v>12</v>
      </c>
      <c r="G419" s="5" t="s">
        <v>626</v>
      </c>
      <c r="H419" s="9"/>
      <c r="I419" s="9"/>
      <c r="J419" s="9"/>
      <c r="K419" s="9"/>
      <c r="L419" s="9"/>
      <c r="M419" s="9"/>
      <c r="N419" s="9"/>
      <c r="O419" s="9"/>
      <c r="P419" s="9"/>
    </row>
    <row r="420" ht="30.0" customHeight="1">
      <c r="A420" s="4" t="s">
        <v>197</v>
      </c>
      <c r="B420" s="5" t="s">
        <v>198</v>
      </c>
      <c r="C420" s="6">
        <v>8400.0</v>
      </c>
      <c r="D420" s="7" t="str">
        <f t="shared" si="30"/>
        <v>Determina nr. 420 del 21/07/2016</v>
      </c>
      <c r="E420" s="8" t="s">
        <v>638</v>
      </c>
      <c r="F420" s="8" t="s">
        <v>12</v>
      </c>
      <c r="G420" s="5" t="s">
        <v>626</v>
      </c>
      <c r="H420" s="9"/>
      <c r="I420" s="9"/>
      <c r="J420" s="9"/>
      <c r="K420" s="9"/>
      <c r="L420" s="9"/>
      <c r="M420" s="9"/>
      <c r="N420" s="9"/>
      <c r="O420" s="9"/>
      <c r="P420" s="9"/>
    </row>
    <row r="421" ht="30.0" customHeight="1">
      <c r="A421" s="4" t="s">
        <v>639</v>
      </c>
      <c r="B421" s="5" t="s">
        <v>640</v>
      </c>
      <c r="C421" s="6">
        <v>40329.03</v>
      </c>
      <c r="D421" s="7" t="str">
        <f t="shared" si="30"/>
        <v>Determina nr. 420 del 21/07/2016</v>
      </c>
      <c r="E421" s="8" t="s">
        <v>641</v>
      </c>
      <c r="F421" s="8" t="s">
        <v>12</v>
      </c>
      <c r="G421" s="5" t="s">
        <v>626</v>
      </c>
      <c r="H421" s="9"/>
      <c r="I421" s="9"/>
      <c r="J421" s="9"/>
      <c r="K421" s="9"/>
      <c r="L421" s="9"/>
      <c r="M421" s="9"/>
      <c r="N421" s="9"/>
      <c r="O421" s="9"/>
      <c r="P421" s="9"/>
    </row>
    <row r="422" ht="30.0" customHeight="1">
      <c r="A422" s="4" t="s">
        <v>154</v>
      </c>
      <c r="B422" s="5" t="s">
        <v>155</v>
      </c>
      <c r="C422" s="6">
        <v>400.0</v>
      </c>
      <c r="D422" s="7" t="str">
        <f t="shared" ref="D422:D429" si="31">HYPERLINK("http://www.usrc.it/AppRendiConta/det_421_20160721.pdf","Determina nr. 421 del 21/07/2016")</f>
        <v>Determina nr. 421 del 21/07/2016</v>
      </c>
      <c r="E422" s="8" t="s">
        <v>642</v>
      </c>
      <c r="F422" s="8" t="s">
        <v>12</v>
      </c>
      <c r="G422" s="5" t="s">
        <v>626</v>
      </c>
      <c r="H422" s="9"/>
      <c r="I422" s="9"/>
      <c r="J422" s="9"/>
      <c r="K422" s="9"/>
      <c r="L422" s="9"/>
      <c r="M422" s="9"/>
      <c r="N422" s="9"/>
      <c r="O422" s="9"/>
      <c r="P422" s="9"/>
    </row>
    <row r="423" ht="30.0" customHeight="1">
      <c r="A423" s="4" t="s">
        <v>235</v>
      </c>
      <c r="B423" s="5" t="s">
        <v>236</v>
      </c>
      <c r="C423" s="6">
        <v>1100.0</v>
      </c>
      <c r="D423" s="7" t="str">
        <f t="shared" si="31"/>
        <v>Determina nr. 421 del 21/07/2016</v>
      </c>
      <c r="E423" s="8" t="s">
        <v>642</v>
      </c>
      <c r="F423" s="8" t="s">
        <v>12</v>
      </c>
      <c r="G423" s="5" t="s">
        <v>626</v>
      </c>
      <c r="H423" s="9"/>
      <c r="I423" s="9"/>
      <c r="J423" s="9"/>
      <c r="K423" s="9"/>
      <c r="L423" s="9"/>
      <c r="M423" s="9"/>
      <c r="N423" s="9"/>
      <c r="O423" s="9"/>
      <c r="P423" s="9"/>
    </row>
    <row r="424" ht="30.0" customHeight="1">
      <c r="A424" s="4" t="s">
        <v>135</v>
      </c>
      <c r="B424" s="5" t="s">
        <v>136</v>
      </c>
      <c r="C424" s="6">
        <v>8369.2</v>
      </c>
      <c r="D424" s="7" t="str">
        <f t="shared" si="31"/>
        <v>Determina nr. 421 del 21/07/2016</v>
      </c>
      <c r="E424" s="8" t="s">
        <v>643</v>
      </c>
      <c r="F424" s="8" t="s">
        <v>12</v>
      </c>
      <c r="G424" s="5" t="s">
        <v>626</v>
      </c>
      <c r="H424" s="9"/>
      <c r="I424" s="9"/>
      <c r="J424" s="9"/>
      <c r="K424" s="9"/>
      <c r="L424" s="9"/>
      <c r="M424" s="9"/>
      <c r="N424" s="9"/>
      <c r="O424" s="9"/>
      <c r="P424" s="9"/>
    </row>
    <row r="425" ht="30.0" customHeight="1">
      <c r="A425" s="4" t="s">
        <v>304</v>
      </c>
      <c r="B425" s="5" t="s">
        <v>305</v>
      </c>
      <c r="C425" s="6">
        <v>6495.9</v>
      </c>
      <c r="D425" s="7" t="str">
        <f t="shared" si="31"/>
        <v>Determina nr. 421 del 21/07/2016</v>
      </c>
      <c r="E425" s="8" t="s">
        <v>644</v>
      </c>
      <c r="F425" s="8" t="s">
        <v>12</v>
      </c>
      <c r="G425" s="5" t="s">
        <v>626</v>
      </c>
      <c r="H425" s="9"/>
      <c r="I425" s="9"/>
      <c r="J425" s="9"/>
      <c r="K425" s="9"/>
      <c r="L425" s="9"/>
      <c r="M425" s="9"/>
      <c r="N425" s="9"/>
      <c r="O425" s="9"/>
      <c r="P425" s="9"/>
    </row>
    <row r="426" ht="30.0" customHeight="1">
      <c r="A426" s="4" t="s">
        <v>142</v>
      </c>
      <c r="B426" s="5" t="s">
        <v>143</v>
      </c>
      <c r="C426" s="6">
        <v>8886.0</v>
      </c>
      <c r="D426" s="7" t="str">
        <f t="shared" si="31"/>
        <v>Determina nr. 421 del 21/07/2016</v>
      </c>
      <c r="E426" s="8" t="s">
        <v>240</v>
      </c>
      <c r="F426" s="8" t="s">
        <v>12</v>
      </c>
      <c r="G426" s="5" t="s">
        <v>626</v>
      </c>
      <c r="H426" s="9"/>
      <c r="I426" s="9"/>
      <c r="J426" s="9"/>
      <c r="K426" s="9"/>
      <c r="L426" s="9"/>
      <c r="M426" s="9"/>
      <c r="N426" s="9"/>
      <c r="O426" s="9"/>
      <c r="P426" s="9"/>
    </row>
    <row r="427" ht="30.0" customHeight="1">
      <c r="A427" s="4" t="s">
        <v>226</v>
      </c>
      <c r="B427" s="5" t="s">
        <v>227</v>
      </c>
      <c r="C427" s="6">
        <v>8578.0</v>
      </c>
      <c r="D427" s="7" t="str">
        <f t="shared" si="31"/>
        <v>Determina nr. 421 del 21/07/2016</v>
      </c>
      <c r="E427" s="8" t="s">
        <v>645</v>
      </c>
      <c r="F427" s="8" t="s">
        <v>12</v>
      </c>
      <c r="G427" s="5" t="s">
        <v>626</v>
      </c>
      <c r="H427" s="9"/>
      <c r="I427" s="9"/>
      <c r="J427" s="9"/>
      <c r="K427" s="9"/>
      <c r="L427" s="9"/>
      <c r="M427" s="9"/>
      <c r="N427" s="9"/>
      <c r="O427" s="9"/>
      <c r="P427" s="9"/>
    </row>
    <row r="428" ht="30.0" customHeight="1">
      <c r="A428" s="4" t="s">
        <v>361</v>
      </c>
      <c r="B428" s="5" t="s">
        <v>362</v>
      </c>
      <c r="C428" s="6">
        <v>2745.0</v>
      </c>
      <c r="D428" s="7" t="str">
        <f t="shared" si="31"/>
        <v>Determina nr. 421 del 21/07/2016</v>
      </c>
      <c r="E428" s="8" t="s">
        <v>646</v>
      </c>
      <c r="F428" s="8" t="s">
        <v>12</v>
      </c>
      <c r="G428" s="5" t="s">
        <v>626</v>
      </c>
      <c r="H428" s="9"/>
      <c r="I428" s="9"/>
      <c r="J428" s="9"/>
      <c r="K428" s="9"/>
      <c r="L428" s="9"/>
      <c r="M428" s="9"/>
      <c r="N428" s="9"/>
      <c r="O428" s="9"/>
      <c r="P428" s="9"/>
    </row>
    <row r="429" ht="30.0" customHeight="1">
      <c r="A429" s="4" t="s">
        <v>34</v>
      </c>
      <c r="B429" s="5" t="s">
        <v>35</v>
      </c>
      <c r="C429" s="6">
        <v>10711.6</v>
      </c>
      <c r="D429" s="7" t="str">
        <f t="shared" si="31"/>
        <v>Determina nr. 421 del 21/07/2016</v>
      </c>
      <c r="E429" s="8" t="s">
        <v>647</v>
      </c>
      <c r="F429" s="8" t="s">
        <v>12</v>
      </c>
      <c r="G429" s="5" t="s">
        <v>626</v>
      </c>
      <c r="H429" s="9"/>
      <c r="I429" s="9"/>
      <c r="J429" s="9"/>
      <c r="K429" s="9"/>
      <c r="L429" s="9"/>
      <c r="M429" s="9"/>
      <c r="N429" s="9"/>
      <c r="O429" s="9"/>
      <c r="P429" s="9"/>
    </row>
    <row r="430" ht="30.0" customHeight="1">
      <c r="A430" s="4" t="s">
        <v>123</v>
      </c>
      <c r="B430" s="5" t="s">
        <v>124</v>
      </c>
      <c r="C430" s="6">
        <v>21600.0</v>
      </c>
      <c r="D430" s="7" t="str">
        <f t="shared" ref="D430:D433" si="32">HYPERLINK("http://www.usrc.it/AppRendiConta/det_423_20160721.pdf","Determina nr. 423 del 21/07/2016")</f>
        <v>Determina nr. 423 del 21/07/2016</v>
      </c>
      <c r="E430" s="8" t="s">
        <v>208</v>
      </c>
      <c r="F430" s="8" t="s">
        <v>12</v>
      </c>
      <c r="G430" s="5" t="s">
        <v>648</v>
      </c>
      <c r="H430" s="9"/>
      <c r="I430" s="9"/>
      <c r="J430" s="9"/>
      <c r="K430" s="9"/>
      <c r="L430" s="9"/>
      <c r="M430" s="9"/>
      <c r="N430" s="9"/>
      <c r="O430" s="9"/>
      <c r="P430" s="9"/>
    </row>
    <row r="431" ht="30.0" customHeight="1">
      <c r="A431" s="4" t="s">
        <v>211</v>
      </c>
      <c r="B431" s="5" t="s">
        <v>212</v>
      </c>
      <c r="C431" s="6">
        <v>4589.4</v>
      </c>
      <c r="D431" s="7" t="str">
        <f t="shared" si="32"/>
        <v>Determina nr. 423 del 21/07/2016</v>
      </c>
      <c r="E431" s="8" t="s">
        <v>649</v>
      </c>
      <c r="F431" s="8" t="s">
        <v>12</v>
      </c>
      <c r="G431" s="5" t="s">
        <v>648</v>
      </c>
      <c r="H431" s="9"/>
      <c r="I431" s="9"/>
      <c r="J431" s="9"/>
      <c r="K431" s="9"/>
      <c r="L431" s="9"/>
      <c r="M431" s="9"/>
      <c r="N431" s="9"/>
      <c r="O431" s="9"/>
      <c r="P431" s="9"/>
    </row>
    <row r="432" ht="30.0" customHeight="1">
      <c r="A432" s="4" t="s">
        <v>304</v>
      </c>
      <c r="B432" s="5" t="s">
        <v>305</v>
      </c>
      <c r="C432" s="6">
        <v>10800.0</v>
      </c>
      <c r="D432" s="7" t="str">
        <f t="shared" si="32"/>
        <v>Determina nr. 423 del 21/07/2016</v>
      </c>
      <c r="E432" s="8" t="s">
        <v>207</v>
      </c>
      <c r="F432" s="8" t="s">
        <v>12</v>
      </c>
      <c r="G432" s="5" t="s">
        <v>648</v>
      </c>
      <c r="H432" s="9"/>
      <c r="I432" s="9"/>
      <c r="J432" s="9"/>
      <c r="K432" s="9"/>
      <c r="L432" s="9"/>
      <c r="M432" s="9"/>
      <c r="N432" s="9"/>
      <c r="O432" s="9"/>
      <c r="P432" s="9"/>
    </row>
    <row r="433" ht="30.0" customHeight="1">
      <c r="A433" s="4" t="s">
        <v>72</v>
      </c>
      <c r="B433" s="5" t="s">
        <v>73</v>
      </c>
      <c r="C433" s="6">
        <v>21600.0</v>
      </c>
      <c r="D433" s="7" t="str">
        <f t="shared" si="32"/>
        <v>Determina nr. 423 del 21/07/2016</v>
      </c>
      <c r="E433" s="8" t="s">
        <v>208</v>
      </c>
      <c r="F433" s="8" t="s">
        <v>12</v>
      </c>
      <c r="G433" s="5" t="s">
        <v>648</v>
      </c>
      <c r="H433" s="9"/>
      <c r="I433" s="9"/>
      <c r="J433" s="9"/>
      <c r="K433" s="9"/>
      <c r="L433" s="9"/>
      <c r="M433" s="9"/>
      <c r="N433" s="9"/>
      <c r="O433" s="9"/>
      <c r="P433" s="9"/>
    </row>
    <row r="434" ht="30.0" customHeight="1">
      <c r="A434" s="4" t="s">
        <v>135</v>
      </c>
      <c r="B434" s="5" t="s">
        <v>136</v>
      </c>
      <c r="C434" s="6">
        <v>3600.0</v>
      </c>
      <c r="D434" s="7" t="str">
        <f t="shared" ref="D434:D436" si="33">HYPERLINK("http://www.usrc.it/AppRendiConta/det_424_20160721.pdf","Determina nr. 424 del 21/07/2016")</f>
        <v>Determina nr. 424 del 21/07/2016</v>
      </c>
      <c r="E434" s="8" t="s">
        <v>650</v>
      </c>
      <c r="F434" s="8" t="s">
        <v>12</v>
      </c>
      <c r="G434" s="5" t="s">
        <v>460</v>
      </c>
      <c r="H434" s="9"/>
      <c r="I434" s="9"/>
      <c r="J434" s="9"/>
      <c r="K434" s="9"/>
      <c r="L434" s="9"/>
      <c r="M434" s="9"/>
      <c r="N434" s="9"/>
      <c r="O434" s="9"/>
      <c r="P434" s="9"/>
    </row>
    <row r="435" ht="30.0" customHeight="1">
      <c r="A435" s="4" t="s">
        <v>154</v>
      </c>
      <c r="B435" s="5" t="s">
        <v>155</v>
      </c>
      <c r="C435" s="6">
        <v>3600.0</v>
      </c>
      <c r="D435" s="7" t="str">
        <f t="shared" si="33"/>
        <v>Determina nr. 424 del 21/07/2016</v>
      </c>
      <c r="E435" s="8" t="s">
        <v>651</v>
      </c>
      <c r="F435" s="8" t="s">
        <v>12</v>
      </c>
      <c r="G435" s="5" t="s">
        <v>460</v>
      </c>
      <c r="H435" s="9"/>
      <c r="I435" s="9"/>
      <c r="J435" s="9"/>
      <c r="K435" s="9"/>
      <c r="L435" s="9"/>
      <c r="M435" s="9"/>
      <c r="N435" s="9"/>
      <c r="O435" s="9"/>
      <c r="P435" s="9"/>
    </row>
    <row r="436" ht="30.0" customHeight="1">
      <c r="A436" s="4" t="s">
        <v>119</v>
      </c>
      <c r="B436" s="5" t="s">
        <v>120</v>
      </c>
      <c r="C436" s="6">
        <v>2744.37</v>
      </c>
      <c r="D436" s="7" t="str">
        <f t="shared" si="33"/>
        <v>Determina nr. 424 del 21/07/2016</v>
      </c>
      <c r="E436" s="8" t="s">
        <v>459</v>
      </c>
      <c r="F436" s="8" t="s">
        <v>12</v>
      </c>
      <c r="G436" s="5" t="s">
        <v>460</v>
      </c>
      <c r="H436" s="9"/>
      <c r="I436" s="9"/>
      <c r="J436" s="9"/>
      <c r="K436" s="9"/>
      <c r="L436" s="9"/>
      <c r="M436" s="9"/>
      <c r="N436" s="9"/>
      <c r="O436" s="9"/>
      <c r="P436" s="9"/>
    </row>
    <row r="437" ht="30.0" customHeight="1">
      <c r="A437" s="4" t="s">
        <v>148</v>
      </c>
      <c r="B437" s="5" t="s">
        <v>149</v>
      </c>
      <c r="C437" s="6">
        <v>5400.0</v>
      </c>
      <c r="D437" s="7" t="str">
        <f>HYPERLINK("http://www.usrc.it/AppRendiConta/det_425_20160721.pdf","Determina nr. 425 del 21/07/2016")</f>
        <v>Determina nr. 425 del 21/07/2016</v>
      </c>
      <c r="E437" s="8" t="s">
        <v>652</v>
      </c>
      <c r="F437" s="8" t="s">
        <v>12</v>
      </c>
      <c r="G437" s="5" t="s">
        <v>586</v>
      </c>
      <c r="H437" s="9"/>
      <c r="I437" s="9"/>
      <c r="J437" s="9"/>
      <c r="K437" s="9"/>
      <c r="L437" s="9"/>
      <c r="M437" s="9"/>
      <c r="N437" s="9"/>
      <c r="O437" s="9"/>
      <c r="P437" s="9"/>
    </row>
    <row r="438" ht="30.0" customHeight="1">
      <c r="A438" s="4" t="s">
        <v>653</v>
      </c>
      <c r="B438" s="5" t="s">
        <v>654</v>
      </c>
      <c r="C438" s="6">
        <v>425831.2</v>
      </c>
      <c r="D438" s="7" t="str">
        <f>HYPERLINK("http://www.usrc.it/AppRendiConta/det_426_20160722.pdf","Determina nr. 426 del 22/07/2016")</f>
        <v>Determina nr. 426 del 22/07/2016</v>
      </c>
      <c r="E438" s="8" t="s">
        <v>655</v>
      </c>
      <c r="F438" s="8" t="s">
        <v>12</v>
      </c>
      <c r="G438" s="8" t="s">
        <v>85</v>
      </c>
      <c r="H438" s="9"/>
      <c r="I438" s="9"/>
      <c r="J438" s="9"/>
      <c r="K438" s="9"/>
      <c r="L438" s="9"/>
      <c r="M438" s="9"/>
      <c r="N438" s="9"/>
      <c r="O438" s="9"/>
      <c r="P438" s="9"/>
    </row>
    <row r="439" ht="30.0" customHeight="1">
      <c r="A439" s="4" t="s">
        <v>656</v>
      </c>
      <c r="B439" s="5" t="s">
        <v>657</v>
      </c>
      <c r="C439" s="6">
        <v>157267.82</v>
      </c>
      <c r="D439" s="7" t="str">
        <f>HYPERLINK("http://www.usrc.it/AppRendiConta/det_427_20160722.pdf","Determina nr. 427 del 22/07/2016")</f>
        <v>Determina nr. 427 del 22/07/2016</v>
      </c>
      <c r="E439" s="5" t="s">
        <v>658</v>
      </c>
      <c r="F439" s="8" t="s">
        <v>12</v>
      </c>
      <c r="G439" s="8" t="s">
        <v>85</v>
      </c>
      <c r="H439" s="9"/>
      <c r="I439" s="9"/>
      <c r="J439" s="9"/>
      <c r="K439" s="9"/>
      <c r="L439" s="9"/>
      <c r="M439" s="9"/>
      <c r="N439" s="9"/>
      <c r="O439" s="9"/>
      <c r="P439" s="9"/>
    </row>
    <row r="440" ht="30.0" customHeight="1">
      <c r="A440" s="4" t="s">
        <v>49</v>
      </c>
      <c r="B440" s="5" t="s">
        <v>50</v>
      </c>
      <c r="C440" s="6">
        <v>43990.8</v>
      </c>
      <c r="D440" s="7" t="str">
        <f>HYPERLINK("http://www.usrc.it/AppRendiConta/det_428_20160722.pdf","Determina nr. 428 del 22/07/2016")</f>
        <v>Determina nr. 428 del 22/07/2016</v>
      </c>
      <c r="E440" s="5" t="s">
        <v>659</v>
      </c>
      <c r="F440" s="8" t="s">
        <v>12</v>
      </c>
      <c r="G440" s="8" t="s">
        <v>85</v>
      </c>
      <c r="H440" s="9"/>
      <c r="I440" s="9"/>
      <c r="J440" s="9"/>
      <c r="K440" s="9"/>
      <c r="L440" s="9"/>
      <c r="M440" s="9"/>
      <c r="N440" s="9"/>
      <c r="O440" s="9"/>
      <c r="P440" s="9"/>
    </row>
    <row r="441" ht="30.0" customHeight="1">
      <c r="A441" s="4" t="s">
        <v>34</v>
      </c>
      <c r="B441" s="5" t="s">
        <v>35</v>
      </c>
      <c r="C441" s="6">
        <v>19238.4</v>
      </c>
      <c r="D441" s="7" t="str">
        <f>HYPERLINK("http://www.usrc.it/AppRendiConta/det_429_20160722.pdf","Determina nr. 429 del 22/07/2016")</f>
        <v>Determina nr. 429 del 22/07/2016</v>
      </c>
      <c r="E441" s="5" t="s">
        <v>660</v>
      </c>
      <c r="F441" s="8" t="s">
        <v>12</v>
      </c>
      <c r="G441" s="8" t="s">
        <v>85</v>
      </c>
      <c r="H441" s="9"/>
      <c r="I441" s="9"/>
      <c r="J441" s="9"/>
      <c r="K441" s="9"/>
      <c r="L441" s="9"/>
      <c r="M441" s="9"/>
      <c r="N441" s="9"/>
      <c r="O441" s="9"/>
      <c r="P441" s="9"/>
    </row>
    <row r="442" ht="30.0" customHeight="1">
      <c r="A442" s="4" t="s">
        <v>20</v>
      </c>
      <c r="B442" s="5" t="s">
        <v>21</v>
      </c>
      <c r="C442" s="6">
        <v>12527.79</v>
      </c>
      <c r="D442" s="7" t="str">
        <f>HYPERLINK("http://www.usrc.it/AppRendiConta/det_431_20160725.pdf","Determina nr. 431 del 25/07/2016")</f>
        <v>Determina nr. 431 del 25/07/2016</v>
      </c>
      <c r="E442" s="5" t="s">
        <v>661</v>
      </c>
      <c r="F442" s="8" t="s">
        <v>12</v>
      </c>
      <c r="G442" s="5" t="s">
        <v>67</v>
      </c>
      <c r="H442" s="9"/>
      <c r="I442" s="9"/>
      <c r="J442" s="9"/>
      <c r="K442" s="9"/>
      <c r="L442" s="9"/>
      <c r="M442" s="9"/>
      <c r="N442" s="9"/>
      <c r="O442" s="9"/>
      <c r="P442" s="9"/>
    </row>
    <row r="443" ht="30.0" customHeight="1">
      <c r="A443" s="4" t="s">
        <v>26</v>
      </c>
      <c r="B443" s="5" t="s">
        <v>27</v>
      </c>
      <c r="C443" s="6">
        <v>28393.2</v>
      </c>
      <c r="D443" s="7" t="str">
        <f>HYPERLINK("http://www.usrc.it/AppRendiConta/det_433_20160725.pdf","Determina nr. 433 del 25/07/2016")</f>
        <v>Determina nr. 433 del 25/07/2016</v>
      </c>
      <c r="E443" s="5" t="s">
        <v>662</v>
      </c>
      <c r="F443" s="8" t="s">
        <v>12</v>
      </c>
      <c r="G443" s="8" t="s">
        <v>67</v>
      </c>
      <c r="H443" s="9"/>
      <c r="I443" s="9"/>
      <c r="J443" s="9"/>
      <c r="K443" s="9"/>
      <c r="L443" s="9"/>
      <c r="M443" s="9"/>
      <c r="N443" s="9"/>
      <c r="O443" s="9"/>
      <c r="P443" s="9"/>
    </row>
    <row r="444" ht="30.0" customHeight="1">
      <c r="A444" s="4" t="s">
        <v>89</v>
      </c>
      <c r="B444" s="5" t="s">
        <v>90</v>
      </c>
      <c r="C444" s="6">
        <v>29087.03</v>
      </c>
      <c r="D444" s="7" t="str">
        <f>HYPERLINK("http://www.usrc.it/AppRendiConta/det_434_20160725.pdf","Determina nr. 434 del 25/07/2016")</f>
        <v>Determina nr. 434 del 25/07/2016</v>
      </c>
      <c r="E444" s="5" t="s">
        <v>663</v>
      </c>
      <c r="F444" s="8" t="s">
        <v>12</v>
      </c>
      <c r="G444" s="8" t="s">
        <v>67</v>
      </c>
      <c r="H444" s="9"/>
      <c r="I444" s="9"/>
      <c r="J444" s="9"/>
      <c r="K444" s="9"/>
      <c r="L444" s="9"/>
      <c r="M444" s="9"/>
      <c r="N444" s="9"/>
      <c r="O444" s="9"/>
      <c r="P444" s="9"/>
    </row>
    <row r="445" ht="30.0" customHeight="1">
      <c r="A445" s="4" t="s">
        <v>205</v>
      </c>
      <c r="B445" s="5" t="s">
        <v>206</v>
      </c>
      <c r="C445" s="6">
        <v>1078.0</v>
      </c>
      <c r="D445" s="7" t="str">
        <f>HYPERLINK("http://www.usrc.it/AppRendiConta/det_435_20160725.pdf","Determina nr. 435 del 25/07/2016")</f>
        <v>Determina nr. 435 del 25/07/2016</v>
      </c>
      <c r="E445" s="5" t="s">
        <v>664</v>
      </c>
      <c r="F445" s="8" t="s">
        <v>12</v>
      </c>
      <c r="G445" s="8" t="s">
        <v>371</v>
      </c>
      <c r="H445" s="9"/>
      <c r="I445" s="9"/>
      <c r="J445" s="9"/>
      <c r="K445" s="9"/>
      <c r="L445" s="9"/>
      <c r="M445" s="9"/>
      <c r="N445" s="9"/>
      <c r="O445" s="9"/>
      <c r="P445" s="9"/>
    </row>
    <row r="446" ht="30.0" customHeight="1">
      <c r="A446" s="4" t="s">
        <v>139</v>
      </c>
      <c r="B446" s="5" t="s">
        <v>140</v>
      </c>
      <c r="C446" s="6">
        <v>6185573.6</v>
      </c>
      <c r="D446" s="7" t="str">
        <f>HYPERLINK("http://www.usrc.it/AppRendiConta/det_437_20160726.pdf","Determina nr. 437 del 26/07/2016")</f>
        <v>Determina nr. 437 del 26/07/2016</v>
      </c>
      <c r="E446" s="5" t="s">
        <v>665</v>
      </c>
      <c r="F446" s="8" t="s">
        <v>12</v>
      </c>
      <c r="G446" s="8" t="s">
        <v>613</v>
      </c>
      <c r="H446" s="9"/>
      <c r="I446" s="9"/>
      <c r="J446" s="9"/>
      <c r="K446" s="9"/>
      <c r="L446" s="9"/>
      <c r="M446" s="9"/>
      <c r="N446" s="9"/>
      <c r="O446" s="9"/>
      <c r="P446" s="9"/>
    </row>
    <row r="447" ht="30.0" customHeight="1">
      <c r="A447" s="4" t="s">
        <v>64</v>
      </c>
      <c r="B447" s="5" t="s">
        <v>65</v>
      </c>
      <c r="C447" s="6">
        <v>10150.4</v>
      </c>
      <c r="D447" s="7" t="str">
        <f>HYPERLINK("http://www.usrc.it/AppRendiConta/det_444_20160727.pdf","Determina nr. 444 del 27/07/2016")</f>
        <v>Determina nr. 444 del 27/07/2016</v>
      </c>
      <c r="E447" s="5" t="s">
        <v>666</v>
      </c>
      <c r="F447" s="8" t="s">
        <v>12</v>
      </c>
      <c r="G447" s="8" t="s">
        <v>67</v>
      </c>
      <c r="H447" s="9"/>
      <c r="I447" s="9"/>
      <c r="J447" s="9"/>
      <c r="K447" s="9"/>
      <c r="L447" s="9"/>
      <c r="M447" s="9"/>
      <c r="N447" s="9"/>
      <c r="O447" s="9"/>
      <c r="P447" s="9"/>
    </row>
    <row r="448" ht="30.0" customHeight="1">
      <c r="A448" s="4" t="s">
        <v>216</v>
      </c>
      <c r="B448" s="5" t="s">
        <v>217</v>
      </c>
      <c r="C448" s="6">
        <v>30519.4</v>
      </c>
      <c r="D448" s="7" t="str">
        <f>HYPERLINK("http://www.usrc.it/AppRendiConta/det_445_20160727.pdf","Determina nr. 445 del 27/07/2016")</f>
        <v>Determina nr. 445 del 27/07/2016</v>
      </c>
      <c r="E448" s="5" t="s">
        <v>667</v>
      </c>
      <c r="F448" s="8" t="s">
        <v>12</v>
      </c>
      <c r="G448" s="8" t="s">
        <v>67</v>
      </c>
      <c r="H448" s="9"/>
      <c r="I448" s="9"/>
      <c r="J448" s="9"/>
      <c r="K448" s="9"/>
      <c r="L448" s="9"/>
      <c r="M448" s="9"/>
      <c r="N448" s="9"/>
      <c r="O448" s="9"/>
      <c r="P448" s="9"/>
    </row>
    <row r="449" ht="30.0" customHeight="1">
      <c r="A449" s="4" t="s">
        <v>226</v>
      </c>
      <c r="B449" s="5" t="s">
        <v>227</v>
      </c>
      <c r="C449" s="6">
        <v>7488.0</v>
      </c>
      <c r="D449" s="7" t="str">
        <f>HYPERLINK("http://www.usrc.it/AppRendiConta/det_447_20160727.pdf","Determina nr. 447 del 27/07/2016")</f>
        <v>Determina nr. 447 del 27/07/2016</v>
      </c>
      <c r="E449" s="5" t="s">
        <v>668</v>
      </c>
      <c r="F449" s="8" t="s">
        <v>12</v>
      </c>
      <c r="G449" s="8" t="s">
        <v>669</v>
      </c>
      <c r="H449" s="9"/>
      <c r="I449" s="9"/>
      <c r="J449" s="9"/>
      <c r="K449" s="9"/>
      <c r="L449" s="9"/>
      <c r="M449" s="9"/>
      <c r="N449" s="9"/>
      <c r="O449" s="9"/>
      <c r="P449" s="9"/>
    </row>
    <row r="450" ht="30.0" customHeight="1">
      <c r="A450" s="4" t="s">
        <v>89</v>
      </c>
      <c r="B450" s="5" t="s">
        <v>90</v>
      </c>
      <c r="C450" s="6">
        <v>60042.59</v>
      </c>
      <c r="D450" s="7" t="str">
        <f>HYPERLINK("http://www.usrc.it/AppRendiConta/det_448_20160727.pdf","Determina nr. 448 del 27/07/2016")</f>
        <v>Determina nr. 448 del 27/07/2016</v>
      </c>
      <c r="E450" s="5" t="s">
        <v>670</v>
      </c>
      <c r="F450" s="8" t="s">
        <v>12</v>
      </c>
      <c r="G450" s="8" t="s">
        <v>67</v>
      </c>
      <c r="H450" s="9"/>
      <c r="I450" s="9"/>
      <c r="J450" s="9"/>
      <c r="K450" s="9"/>
      <c r="L450" s="9"/>
      <c r="M450" s="9"/>
      <c r="N450" s="9"/>
      <c r="O450" s="9"/>
      <c r="P450" s="9"/>
    </row>
    <row r="451" ht="30.0" customHeight="1">
      <c r="A451" s="4" t="s">
        <v>135</v>
      </c>
      <c r="B451" s="5" t="s">
        <v>136</v>
      </c>
      <c r="C451" s="6">
        <v>196390.36</v>
      </c>
      <c r="D451" s="7" t="str">
        <f>HYPERLINK("http://www.usrc.it/AppRendiConta/det_449_20160727.pdf","Determina nr. 449 del 27/07/2016")</f>
        <v>Determina nr. 449 del 27/07/2016</v>
      </c>
      <c r="E451" s="5" t="s">
        <v>671</v>
      </c>
      <c r="F451" s="8" t="s">
        <v>12</v>
      </c>
      <c r="G451" s="8" t="s">
        <v>371</v>
      </c>
      <c r="H451" s="9"/>
      <c r="I451" s="9"/>
      <c r="J451" s="9"/>
      <c r="K451" s="9"/>
      <c r="L451" s="9"/>
      <c r="M451" s="9"/>
      <c r="N451" s="9"/>
      <c r="O451" s="9"/>
      <c r="P451" s="9"/>
    </row>
    <row r="452" ht="30.0" customHeight="1">
      <c r="A452" s="4" t="s">
        <v>226</v>
      </c>
      <c r="B452" s="5" t="s">
        <v>227</v>
      </c>
      <c r="C452" s="6">
        <v>1900.0</v>
      </c>
      <c r="D452" s="7" t="str">
        <f>HYPERLINK("http://www.usrc.it/AppRendiConta/det_453_20160728.pdf","Determina nr. 453 del 28/07/2016")</f>
        <v>Determina nr. 453 del 28/07/2016</v>
      </c>
      <c r="E452" s="5" t="s">
        <v>672</v>
      </c>
      <c r="F452" s="8" t="s">
        <v>12</v>
      </c>
      <c r="G452" s="8" t="s">
        <v>371</v>
      </c>
      <c r="H452" s="9"/>
      <c r="I452" s="9"/>
      <c r="J452" s="9"/>
      <c r="K452" s="9"/>
      <c r="L452" s="9"/>
      <c r="M452" s="9"/>
      <c r="N452" s="9"/>
      <c r="O452" s="9"/>
      <c r="P452" s="9"/>
    </row>
    <row r="453" ht="30.0" customHeight="1">
      <c r="A453" s="4" t="s">
        <v>154</v>
      </c>
      <c r="B453" s="5" t="s">
        <v>155</v>
      </c>
      <c r="C453" s="6">
        <v>4221.75</v>
      </c>
      <c r="D453" s="7" t="str">
        <f>HYPERLINK("http://www.usrc.it/AppRendiConta/det_468_20160808.pdf","Determina nr. 468 del 08/08/2016")</f>
        <v>Determina nr. 468 del 08/08/2016</v>
      </c>
      <c r="E453" s="5" t="s">
        <v>673</v>
      </c>
      <c r="F453" s="8" t="s">
        <v>12</v>
      </c>
      <c r="G453" s="8" t="s">
        <v>371</v>
      </c>
      <c r="H453" s="9"/>
      <c r="I453" s="9"/>
      <c r="J453" s="9"/>
      <c r="K453" s="9"/>
      <c r="L453" s="9"/>
      <c r="M453" s="9"/>
      <c r="N453" s="9"/>
      <c r="O453" s="9"/>
      <c r="P453" s="9"/>
    </row>
    <row r="454" ht="30.0" customHeight="1">
      <c r="A454" s="4" t="s">
        <v>262</v>
      </c>
      <c r="B454" s="14" t="s">
        <v>263</v>
      </c>
      <c r="C454" s="6">
        <v>69545.42</v>
      </c>
      <c r="D454" s="7" t="str">
        <f>HYPERLINK("http://www.usrc.it/AppRendiConta/det_469_20160808.pdf","Determina nr. 469 del 08/08/2016")</f>
        <v>Determina nr. 469 del 08/08/2016</v>
      </c>
      <c r="E454" s="5" t="s">
        <v>674</v>
      </c>
      <c r="F454" s="8" t="s">
        <v>12</v>
      </c>
      <c r="G454" s="8" t="s">
        <v>529</v>
      </c>
      <c r="H454" s="9"/>
      <c r="I454" s="9"/>
      <c r="J454" s="9"/>
      <c r="K454" s="9"/>
      <c r="L454" s="9"/>
      <c r="M454" s="9"/>
      <c r="N454" s="9"/>
      <c r="O454" s="9"/>
      <c r="P454" s="9"/>
    </row>
    <row r="455" ht="30.0" customHeight="1">
      <c r="A455" s="4" t="s">
        <v>675</v>
      </c>
      <c r="B455" s="14" t="s">
        <v>676</v>
      </c>
      <c r="C455" s="6">
        <v>202592.28</v>
      </c>
      <c r="D455" s="7" t="str">
        <f>HYPERLINK("http://www.usrc.it/AppRendiConta/det_470_20160808.pdf","Determina nr. 470 del 08/08/2016")</f>
        <v>Determina nr. 470 del 08/08/2016</v>
      </c>
      <c r="E455" s="5" t="s">
        <v>677</v>
      </c>
      <c r="F455" s="8" t="s">
        <v>12</v>
      </c>
      <c r="G455" s="8" t="s">
        <v>678</v>
      </c>
      <c r="H455" s="9"/>
      <c r="I455" s="9"/>
      <c r="J455" s="9"/>
      <c r="K455" s="9"/>
      <c r="L455" s="9"/>
      <c r="M455" s="9"/>
      <c r="N455" s="9"/>
      <c r="O455" s="9"/>
      <c r="P455" s="9"/>
    </row>
    <row r="456" ht="30.0" customHeight="1">
      <c r="A456" s="4" t="s">
        <v>192</v>
      </c>
      <c r="B456" s="14" t="s">
        <v>193</v>
      </c>
      <c r="C456" s="6">
        <v>677667.52</v>
      </c>
      <c r="D456" s="7" t="str">
        <f>HYPERLINK("http://www.usrc.it/AppRendiConta/det_471_20160808.pdf","Determina nr. 471 del 08/08/2016")</f>
        <v>Determina nr. 471 del 08/08/2016</v>
      </c>
      <c r="E456" s="5" t="s">
        <v>679</v>
      </c>
      <c r="F456" s="8" t="s">
        <v>12</v>
      </c>
      <c r="G456" s="8" t="s">
        <v>678</v>
      </c>
      <c r="H456" s="9"/>
      <c r="I456" s="9"/>
      <c r="J456" s="9"/>
      <c r="K456" s="9"/>
      <c r="L456" s="9"/>
      <c r="M456" s="9"/>
      <c r="N456" s="9"/>
      <c r="O456" s="9"/>
      <c r="P456" s="9"/>
    </row>
    <row r="457" ht="30.0" customHeight="1">
      <c r="A457" s="4" t="s">
        <v>680</v>
      </c>
      <c r="B457" s="5" t="s">
        <v>393</v>
      </c>
      <c r="C457" s="6">
        <v>147972.0</v>
      </c>
      <c r="D457" s="7" t="str">
        <f t="shared" ref="D457:D458" si="34">HYPERLINK("http://www.usrc.it/AppRendiConta/det_472_20160808.pdf","Determina nr. 472 del 08/08/2016")</f>
        <v>Determina nr. 472 del 08/08/2016</v>
      </c>
      <c r="E457" s="5" t="s">
        <v>681</v>
      </c>
      <c r="F457" s="8" t="s">
        <v>12</v>
      </c>
      <c r="G457" s="8" t="s">
        <v>395</v>
      </c>
      <c r="H457" s="9"/>
      <c r="I457" s="9"/>
      <c r="J457" s="9"/>
      <c r="K457" s="9"/>
      <c r="L457" s="9"/>
      <c r="M457" s="9"/>
      <c r="N457" s="9"/>
      <c r="O457" s="9"/>
      <c r="P457" s="9"/>
    </row>
    <row r="458" ht="30.0" customHeight="1">
      <c r="A458" s="4" t="s">
        <v>437</v>
      </c>
      <c r="B458" s="5" t="s">
        <v>438</v>
      </c>
      <c r="C458" s="6">
        <v>56577.0</v>
      </c>
      <c r="D458" s="7" t="str">
        <f t="shared" si="34"/>
        <v>Determina nr. 472 del 08/08/2016</v>
      </c>
      <c r="E458" s="5" t="s">
        <v>682</v>
      </c>
      <c r="F458" s="8" t="s">
        <v>12</v>
      </c>
      <c r="G458" s="8" t="s">
        <v>395</v>
      </c>
      <c r="H458" s="9"/>
      <c r="I458" s="9"/>
      <c r="J458" s="9"/>
      <c r="K458" s="9"/>
      <c r="L458" s="9"/>
      <c r="M458" s="9"/>
      <c r="N458" s="9"/>
      <c r="O458" s="9"/>
      <c r="P458" s="9"/>
    </row>
    <row r="459" ht="30.0" customHeight="1">
      <c r="A459" s="4" t="s">
        <v>142</v>
      </c>
      <c r="B459" s="14" t="s">
        <v>143</v>
      </c>
      <c r="C459" s="6">
        <v>137783.69</v>
      </c>
      <c r="D459" s="7" t="str">
        <f>HYPERLINK("http://www.usrc.it/AppRendiConta/det_473_20160808.pdf","Determina nr. 473 del 08/08/2016")</f>
        <v>Determina nr. 473 del 08/08/2016</v>
      </c>
      <c r="E459" s="5" t="s">
        <v>683</v>
      </c>
      <c r="F459" s="8" t="s">
        <v>12</v>
      </c>
      <c r="G459" s="8" t="s">
        <v>67</v>
      </c>
      <c r="H459" s="9"/>
      <c r="I459" s="9"/>
      <c r="J459" s="9"/>
      <c r="K459" s="9"/>
      <c r="L459" s="9"/>
      <c r="M459" s="9"/>
      <c r="N459" s="9"/>
      <c r="O459" s="9"/>
      <c r="P459" s="9"/>
    </row>
    <row r="460" ht="30.0" customHeight="1">
      <c r="A460" s="4" t="s">
        <v>353</v>
      </c>
      <c r="B460" s="13" t="s">
        <v>354</v>
      </c>
      <c r="C460" s="6">
        <v>7688435.01</v>
      </c>
      <c r="D460" s="17" t="str">
        <f>HYPERLINK("http://www.usrc.it/AppRendiConta/det_477_20160809.pdf","Determina nr. 477 del 09/08/2016")</f>
        <v>Determina nr. 477 del 09/08/2016</v>
      </c>
      <c r="E460" s="5" t="s">
        <v>684</v>
      </c>
      <c r="F460" s="8" t="s">
        <v>12</v>
      </c>
      <c r="G460" s="8" t="s">
        <v>685</v>
      </c>
      <c r="H460" s="9"/>
      <c r="I460" s="9"/>
      <c r="J460" s="9"/>
      <c r="K460" s="9"/>
      <c r="L460" s="9"/>
      <c r="M460" s="9"/>
      <c r="N460" s="9"/>
      <c r="O460" s="9"/>
      <c r="P460" s="9"/>
    </row>
    <row r="461" ht="30.0" customHeight="1">
      <c r="A461" s="4" t="s">
        <v>34</v>
      </c>
      <c r="B461" s="5" t="s">
        <v>35</v>
      </c>
      <c r="C461" s="6">
        <v>2816.0</v>
      </c>
      <c r="D461" s="17" t="str">
        <f>HYPERLINK("http://www.usrc.it/AppRendiConta/det_478_20160809.pdf","Determina nr. 478 del 09/08/2016")</f>
        <v>Determina nr. 478 del 09/08/2016</v>
      </c>
      <c r="E461" s="5" t="s">
        <v>686</v>
      </c>
      <c r="F461" s="8" t="s">
        <v>12</v>
      </c>
      <c r="G461" s="8" t="s">
        <v>371</v>
      </c>
      <c r="H461" s="9"/>
      <c r="I461" s="9"/>
      <c r="J461" s="9"/>
      <c r="K461" s="9"/>
      <c r="L461" s="9"/>
      <c r="M461" s="9"/>
      <c r="N461" s="9"/>
      <c r="O461" s="9"/>
      <c r="P461" s="9"/>
    </row>
    <row r="462" ht="30.0" customHeight="1">
      <c r="A462" s="4" t="s">
        <v>34</v>
      </c>
      <c r="B462" s="5" t="s">
        <v>35</v>
      </c>
      <c r="C462" s="6">
        <v>2147.2</v>
      </c>
      <c r="D462" s="17" t="str">
        <f>HYPERLINK("http://www.usrc.it/AppRendiConta/det_479_20160809.pdf","Determina nr. 479 del 09/08/2016")</f>
        <v>Determina nr. 479 del 09/08/2016</v>
      </c>
      <c r="E462" s="5" t="s">
        <v>687</v>
      </c>
      <c r="F462" s="8" t="s">
        <v>12</v>
      </c>
      <c r="G462" s="8" t="s">
        <v>371</v>
      </c>
      <c r="H462" s="9"/>
      <c r="I462" s="9"/>
      <c r="J462" s="9"/>
      <c r="K462" s="9"/>
      <c r="L462" s="9"/>
      <c r="M462" s="9"/>
      <c r="N462" s="9"/>
      <c r="O462" s="9"/>
      <c r="P462" s="9"/>
    </row>
    <row r="463" ht="30.0" customHeight="1">
      <c r="A463" s="4" t="s">
        <v>205</v>
      </c>
      <c r="B463" s="5" t="s">
        <v>206</v>
      </c>
      <c r="C463" s="6">
        <v>11284.02</v>
      </c>
      <c r="D463" s="17" t="str">
        <f>HYPERLINK("http://www.usrc.it/AppRendiConta/det_482_20160809.pdf","Determina nr. 482 del 09/08/2016")</f>
        <v>Determina nr. 482 del 09/08/2016</v>
      </c>
      <c r="E463" s="5" t="s">
        <v>688</v>
      </c>
      <c r="F463" s="8" t="s">
        <v>12</v>
      </c>
      <c r="G463" s="8" t="s">
        <v>371</v>
      </c>
      <c r="H463" s="9"/>
      <c r="I463" s="9"/>
      <c r="J463" s="9"/>
      <c r="K463" s="9"/>
      <c r="L463" s="9"/>
      <c r="M463" s="9"/>
      <c r="N463" s="9"/>
      <c r="O463" s="9"/>
      <c r="P463" s="9"/>
    </row>
    <row r="464" ht="30.0" customHeight="1">
      <c r="A464" s="4" t="s">
        <v>266</v>
      </c>
      <c r="B464" s="5" t="s">
        <v>267</v>
      </c>
      <c r="C464" s="6">
        <v>49610.87</v>
      </c>
      <c r="D464" s="17" t="str">
        <f>HYPERLINK("http://www.usrc.it/AppRendiConta/det_483_20160809.pdf","Determina nr. 483 del 09/08/2016")</f>
        <v>Determina nr. 483 del 09/08/2016</v>
      </c>
      <c r="E464" s="5" t="s">
        <v>689</v>
      </c>
      <c r="F464" s="8" t="s">
        <v>12</v>
      </c>
      <c r="G464" s="8" t="s">
        <v>529</v>
      </c>
      <c r="H464" s="9"/>
      <c r="I464" s="9"/>
      <c r="J464" s="9"/>
      <c r="K464" s="9"/>
      <c r="L464" s="9"/>
      <c r="M464" s="9"/>
      <c r="N464" s="9"/>
      <c r="O464" s="9"/>
      <c r="P464" s="9"/>
    </row>
    <row r="465" ht="30.0" customHeight="1">
      <c r="A465" s="4" t="s">
        <v>17</v>
      </c>
      <c r="B465" s="5" t="s">
        <v>18</v>
      </c>
      <c r="C465" s="6">
        <v>1533677.94</v>
      </c>
      <c r="D465" s="17" t="str">
        <f>HYPERLINK("http://www.usrc.it/AppRendiConta/det_485_20160810.pdf","Determina nr. 485 del 10/08/2016")</f>
        <v>Determina nr. 485 del 10/08/2016</v>
      </c>
      <c r="E465" s="5" t="s">
        <v>690</v>
      </c>
      <c r="F465" s="8" t="s">
        <v>12</v>
      </c>
      <c r="G465" s="8" t="s">
        <v>691</v>
      </c>
      <c r="H465" s="9"/>
      <c r="I465" s="9"/>
      <c r="J465" s="9"/>
      <c r="K465" s="9"/>
      <c r="L465" s="9"/>
      <c r="M465" s="9"/>
      <c r="N465" s="9"/>
      <c r="O465" s="9"/>
      <c r="P465" s="9"/>
    </row>
    <row r="466" ht="30.0" customHeight="1">
      <c r="A466" s="4" t="s">
        <v>692</v>
      </c>
      <c r="B466" s="5" t="s">
        <v>693</v>
      </c>
      <c r="C466" s="6">
        <v>384898.81</v>
      </c>
      <c r="D466" s="17" t="str">
        <f>HYPERLINK("http://www.usrc.it/AppRendiConta/det_486_20160810.pdf","Determina nr. 486 del 10/08/2016")</f>
        <v>Determina nr. 486 del 10/08/2016</v>
      </c>
      <c r="E466" s="5" t="s">
        <v>694</v>
      </c>
      <c r="F466" s="8" t="s">
        <v>12</v>
      </c>
      <c r="G466" s="8" t="s">
        <v>695</v>
      </c>
      <c r="H466" s="9"/>
      <c r="I466" s="9"/>
      <c r="J466" s="9"/>
      <c r="K466" s="9"/>
      <c r="L466" s="9"/>
      <c r="M466" s="9"/>
      <c r="N466" s="9"/>
      <c r="O466" s="9"/>
      <c r="P466" s="9"/>
    </row>
    <row r="467" ht="30.0" customHeight="1">
      <c r="A467" s="4" t="s">
        <v>14</v>
      </c>
      <c r="B467" s="5" t="s">
        <v>15</v>
      </c>
      <c r="C467" s="6">
        <v>64465.57</v>
      </c>
      <c r="D467" s="7" t="str">
        <f>HYPERLINK("http://www.usrc.it/AppRendiConta/det_501_20160901.pdf","Determina nr. 501 del 01/09/2016")</f>
        <v>Determina nr. 501 del 01/09/2016</v>
      </c>
      <c r="E467" s="5" t="s">
        <v>696</v>
      </c>
      <c r="F467" s="8" t="s">
        <v>12</v>
      </c>
      <c r="G467" s="8" t="s">
        <v>67</v>
      </c>
      <c r="H467" s="9"/>
      <c r="I467" s="9"/>
      <c r="J467" s="9"/>
      <c r="K467" s="9"/>
      <c r="L467" s="9"/>
      <c r="M467" s="9"/>
      <c r="N467" s="9"/>
      <c r="O467" s="9"/>
      <c r="P467" s="9"/>
    </row>
    <row r="468" ht="30.0" customHeight="1">
      <c r="A468" s="4" t="s">
        <v>34</v>
      </c>
      <c r="B468" s="5" t="s">
        <v>35</v>
      </c>
      <c r="C468" s="6">
        <v>287152.37</v>
      </c>
      <c r="D468" s="7" t="str">
        <f>HYPERLINK("http://www.usrc.it/AppRendiConta/det_502_20160901.pdf","Determina nr. 502 del 01/09/2016")</f>
        <v>Determina nr. 502 del 01/09/2016</v>
      </c>
      <c r="E468" s="5" t="s">
        <v>697</v>
      </c>
      <c r="F468" s="8" t="s">
        <v>12</v>
      </c>
      <c r="G468" s="8" t="s">
        <v>371</v>
      </c>
      <c r="H468" s="9"/>
      <c r="I468" s="9"/>
      <c r="J468" s="9"/>
      <c r="K468" s="9"/>
      <c r="L468" s="9"/>
      <c r="M468" s="9"/>
      <c r="N468" s="9"/>
      <c r="O468" s="9"/>
      <c r="P468" s="9"/>
    </row>
    <row r="469" ht="30.0" customHeight="1">
      <c r="A469" s="4" t="s">
        <v>135</v>
      </c>
      <c r="B469" s="5" t="s">
        <v>136</v>
      </c>
      <c r="C469" s="6">
        <v>430.0</v>
      </c>
      <c r="D469" s="7" t="str">
        <f>HYPERLINK("http://www.usrc.it/AppRendiConta/det_503_20160901.pdf","Determina nr. 503 del 01/09/2016")</f>
        <v>Determina nr. 503 del 01/09/2016</v>
      </c>
      <c r="E469" s="5" t="s">
        <v>698</v>
      </c>
      <c r="F469" s="8" t="s">
        <v>12</v>
      </c>
      <c r="G469" s="8" t="s">
        <v>371</v>
      </c>
      <c r="H469" s="9"/>
      <c r="I469" s="9"/>
      <c r="J469" s="9"/>
      <c r="K469" s="9"/>
      <c r="L469" s="9"/>
      <c r="M469" s="9"/>
      <c r="N469" s="9"/>
      <c r="O469" s="9"/>
      <c r="P469" s="9"/>
    </row>
    <row r="470" ht="30.0" customHeight="1">
      <c r="A470" s="4" t="s">
        <v>154</v>
      </c>
      <c r="B470" s="5" t="s">
        <v>155</v>
      </c>
      <c r="C470" s="6">
        <v>41846.0</v>
      </c>
      <c r="D470" s="7" t="str">
        <f>HYPERLINK("http://www.usrc.it/AppRendiConta/det_504_20160901.pdf","Determina nr. 504 del 01/09/2016")</f>
        <v>Determina nr. 504 del 01/09/2016</v>
      </c>
      <c r="E470" s="5" t="s">
        <v>699</v>
      </c>
      <c r="F470" s="8" t="s">
        <v>12</v>
      </c>
      <c r="G470" s="8" t="s">
        <v>67</v>
      </c>
      <c r="H470" s="9"/>
      <c r="I470" s="9"/>
      <c r="J470" s="9"/>
      <c r="K470" s="9"/>
      <c r="L470" s="9"/>
      <c r="M470" s="9"/>
      <c r="N470" s="9"/>
      <c r="O470" s="9"/>
      <c r="P470" s="9"/>
    </row>
    <row r="471" ht="30.0" customHeight="1">
      <c r="A471" s="4" t="s">
        <v>89</v>
      </c>
      <c r="B471" s="5" t="s">
        <v>90</v>
      </c>
      <c r="C471" s="6">
        <v>14610.48</v>
      </c>
      <c r="D471" s="7" t="str">
        <f>HYPERLINK("http://www.usrc.it/AppRendiConta/det_505_20160901.pdf","Determina nr. 505 del 01/09/2016")</f>
        <v>Determina nr. 505 del 01/09/2016</v>
      </c>
      <c r="E471" s="5" t="s">
        <v>700</v>
      </c>
      <c r="F471" s="8" t="s">
        <v>12</v>
      </c>
      <c r="G471" s="8" t="s">
        <v>67</v>
      </c>
      <c r="H471" s="9"/>
      <c r="I471" s="9"/>
      <c r="J471" s="9"/>
      <c r="K471" s="9"/>
      <c r="L471" s="9"/>
      <c r="M471" s="9"/>
      <c r="N471" s="9"/>
      <c r="O471" s="9"/>
      <c r="P471" s="9"/>
    </row>
    <row r="472" ht="30.0" customHeight="1">
      <c r="A472" s="4" t="s">
        <v>20</v>
      </c>
      <c r="B472" s="5" t="s">
        <v>21</v>
      </c>
      <c r="C472" s="6">
        <v>30.0</v>
      </c>
      <c r="D472" s="7" t="str">
        <f>HYPERLINK("http://www.usrc.it/AppRendiConta/det_510_20160906.pdf","Determina nr. 510 del 06/09/2016")</f>
        <v>Determina nr. 510 del 06/09/2016</v>
      </c>
      <c r="E472" s="5" t="s">
        <v>701</v>
      </c>
      <c r="F472" s="8" t="s">
        <v>12</v>
      </c>
      <c r="G472" s="8" t="s">
        <v>67</v>
      </c>
      <c r="H472" s="9"/>
      <c r="I472" s="9"/>
      <c r="J472" s="9"/>
      <c r="K472" s="9"/>
      <c r="L472" s="9"/>
      <c r="M472" s="9"/>
      <c r="N472" s="9"/>
      <c r="O472" s="9"/>
      <c r="P472" s="9"/>
    </row>
    <row r="473" ht="30.0" customHeight="1">
      <c r="A473" s="4" t="s">
        <v>154</v>
      </c>
      <c r="B473" s="5" t="s">
        <v>155</v>
      </c>
      <c r="C473" s="6">
        <v>3612447.03</v>
      </c>
      <c r="D473" s="7" t="str">
        <f>HYPERLINK("http://www.usrc.it/AppRendiConta/det_512_20160908.pdf","Determina nr. 512 del 08/09/2016")</f>
        <v>Determina nr. 512 del 08/09/2016</v>
      </c>
      <c r="E473" s="8" t="s">
        <v>702</v>
      </c>
      <c r="F473" s="8" t="s">
        <v>12</v>
      </c>
      <c r="G473" s="8" t="s">
        <v>691</v>
      </c>
      <c r="H473" s="9"/>
      <c r="I473" s="9"/>
      <c r="J473" s="9"/>
      <c r="K473" s="9"/>
      <c r="L473" s="9"/>
      <c r="M473" s="9"/>
      <c r="N473" s="9"/>
      <c r="O473" s="9"/>
      <c r="P473" s="9"/>
    </row>
    <row r="474" ht="30.0" customHeight="1">
      <c r="A474" s="4" t="s">
        <v>59</v>
      </c>
      <c r="B474" s="5" t="s">
        <v>60</v>
      </c>
      <c r="C474" s="6">
        <v>399565.84</v>
      </c>
      <c r="D474" s="7" t="str">
        <f>HYPERLINK("http://www.usrc.it/AppRendiConta/det_513_20160908.pdf","Determina nr. 513 del 08/09/2016")</f>
        <v>Determina nr. 513 del 08/09/2016</v>
      </c>
      <c r="E474" s="8" t="s">
        <v>703</v>
      </c>
      <c r="F474" s="8" t="s">
        <v>12</v>
      </c>
      <c r="G474" s="8" t="s">
        <v>67</v>
      </c>
      <c r="H474" s="9"/>
      <c r="I474" s="9"/>
      <c r="J474" s="9"/>
      <c r="K474" s="9"/>
      <c r="L474" s="9"/>
      <c r="M474" s="9"/>
      <c r="N474" s="9"/>
      <c r="O474" s="9"/>
      <c r="P474" s="9"/>
    </row>
    <row r="475" ht="30.0" customHeight="1">
      <c r="A475" s="4" t="s">
        <v>20</v>
      </c>
      <c r="B475" s="5" t="s">
        <v>21</v>
      </c>
      <c r="C475" s="6">
        <v>19729.79</v>
      </c>
      <c r="D475" s="7" t="str">
        <f t="shared" ref="D475:D476" si="35">HYPERLINK("http://www.usrc.it/AppRendiConta/det_516_20160908.pdf","Determina nr. 516 del 08/09/2016")</f>
        <v>Determina nr. 516 del 08/09/2016</v>
      </c>
      <c r="E475" s="8" t="s">
        <v>704</v>
      </c>
      <c r="F475" s="8" t="s">
        <v>12</v>
      </c>
      <c r="G475" s="8" t="s">
        <v>67</v>
      </c>
      <c r="H475" s="9"/>
      <c r="I475" s="9"/>
      <c r="J475" s="9"/>
      <c r="K475" s="9"/>
      <c r="L475" s="9"/>
      <c r="M475" s="9"/>
      <c r="N475" s="9"/>
      <c r="O475" s="9"/>
      <c r="P475" s="9"/>
    </row>
    <row r="476" ht="30.0" customHeight="1">
      <c r="A476" s="4" t="s">
        <v>20</v>
      </c>
      <c r="B476" s="5" t="s">
        <v>21</v>
      </c>
      <c r="C476" s="6">
        <v>225.0</v>
      </c>
      <c r="D476" s="7" t="str">
        <f t="shared" si="35"/>
        <v>Determina nr. 516 del 08/09/2016</v>
      </c>
      <c r="E476" s="8" t="s">
        <v>705</v>
      </c>
      <c r="F476" s="8" t="s">
        <v>12</v>
      </c>
      <c r="G476" s="8" t="s">
        <v>67</v>
      </c>
      <c r="H476" s="9"/>
      <c r="I476" s="9"/>
      <c r="J476" s="9"/>
      <c r="K476" s="9"/>
      <c r="L476" s="9"/>
      <c r="M476" s="9"/>
      <c r="N476" s="9"/>
      <c r="O476" s="9"/>
      <c r="P476" s="9"/>
    </row>
    <row r="477" ht="30.0" customHeight="1">
      <c r="A477" s="4" t="s">
        <v>20</v>
      </c>
      <c r="B477" s="5" t="s">
        <v>21</v>
      </c>
      <c r="C477" s="6">
        <v>225.0</v>
      </c>
      <c r="D477" s="7" t="str">
        <f>HYPERLINK("http://www.usrc.it/AppRendiConta/det_517_20160908.pdf","Determina nr. 517 del 08/09/2016")</f>
        <v>Determina nr. 517 del 08/09/2016</v>
      </c>
      <c r="E477" s="8" t="s">
        <v>706</v>
      </c>
      <c r="F477" s="8" t="s">
        <v>12</v>
      </c>
      <c r="G477" s="8" t="s">
        <v>67</v>
      </c>
      <c r="H477" s="9"/>
      <c r="I477" s="9"/>
      <c r="J477" s="9"/>
      <c r="K477" s="9"/>
      <c r="L477" s="9"/>
      <c r="M477" s="9"/>
      <c r="N477" s="9"/>
      <c r="O477" s="9"/>
      <c r="P477" s="9"/>
    </row>
    <row r="478" ht="30.0" customHeight="1">
      <c r="A478" s="4" t="s">
        <v>20</v>
      </c>
      <c r="B478" s="5" t="s">
        <v>21</v>
      </c>
      <c r="C478" s="6">
        <v>225.0</v>
      </c>
      <c r="D478" s="7" t="str">
        <f>HYPERLINK("http://www.usrc.it/AppRendiConta/det_518_20160908.pdf","Determina nr. 518 del 08/09/2016")</f>
        <v>Determina nr. 518 del 08/09/2016</v>
      </c>
      <c r="E478" s="5" t="s">
        <v>707</v>
      </c>
      <c r="F478" s="8" t="s">
        <v>12</v>
      </c>
      <c r="G478" s="8" t="s">
        <v>67</v>
      </c>
      <c r="H478" s="9"/>
      <c r="I478" s="9"/>
      <c r="J478" s="9"/>
      <c r="K478" s="9"/>
      <c r="L478" s="9"/>
      <c r="M478" s="9"/>
      <c r="N478" s="9"/>
      <c r="O478" s="9"/>
      <c r="P478" s="9"/>
    </row>
    <row r="479" ht="30.0" customHeight="1">
      <c r="A479" s="4" t="s">
        <v>235</v>
      </c>
      <c r="B479" s="5" t="s">
        <v>236</v>
      </c>
      <c r="C479" s="6">
        <v>1668569.99</v>
      </c>
      <c r="D479" s="7" t="str">
        <f>HYPERLINK("http://www.usrc.it/AppRendiConta/det_522_20160913.pdf","Determina nr. 522 del 13/09/2016")</f>
        <v>Determina nr. 522 del 13/09/2016</v>
      </c>
      <c r="E479" s="5" t="s">
        <v>708</v>
      </c>
      <c r="F479" s="8" t="s">
        <v>12</v>
      </c>
      <c r="G479" s="8" t="s">
        <v>691</v>
      </c>
      <c r="H479" s="9"/>
      <c r="I479" s="9"/>
      <c r="J479" s="9"/>
      <c r="K479" s="9"/>
      <c r="L479" s="9"/>
      <c r="M479" s="9"/>
      <c r="N479" s="9"/>
      <c r="O479" s="9"/>
      <c r="P479" s="9"/>
    </row>
    <row r="480" ht="30.0" customHeight="1">
      <c r="A480" s="4" t="s">
        <v>59</v>
      </c>
      <c r="B480" s="5" t="s">
        <v>60</v>
      </c>
      <c r="C480" s="6">
        <v>60000.0</v>
      </c>
      <c r="D480" s="7" t="str">
        <f>HYPERLINK("http://www.usrc.it/AppRendiConta/det_525_20160916.pdf","Determina nr. 525 del 16/09/2016")</f>
        <v>Determina nr. 525 del 16/09/2016</v>
      </c>
      <c r="E480" s="5" t="s">
        <v>709</v>
      </c>
      <c r="F480" s="8" t="s">
        <v>12</v>
      </c>
      <c r="G480" s="8" t="s">
        <v>67</v>
      </c>
      <c r="H480" s="9"/>
      <c r="I480" s="9"/>
      <c r="J480" s="9"/>
      <c r="K480" s="9"/>
      <c r="L480" s="9"/>
      <c r="M480" s="9"/>
      <c r="N480" s="9"/>
      <c r="O480" s="9"/>
      <c r="P480" s="9"/>
    </row>
    <row r="481" ht="30.0" customHeight="1">
      <c r="A481" s="4" t="s">
        <v>31</v>
      </c>
      <c r="B481" s="5" t="s">
        <v>32</v>
      </c>
      <c r="C481" s="6">
        <v>239174.55</v>
      </c>
      <c r="D481" s="7" t="str">
        <f>HYPERLINK("http://www.usrc.it/AppRendiConta/det_528_20160920.pdf","Determina nr. 528 del 20/09/2016")</f>
        <v>Determina nr. 528 del 20/09/2016</v>
      </c>
      <c r="E481" s="8" t="s">
        <v>710</v>
      </c>
      <c r="F481" s="8" t="s">
        <v>12</v>
      </c>
      <c r="G481" s="8" t="s">
        <v>85</v>
      </c>
      <c r="H481" s="9"/>
      <c r="I481" s="9"/>
      <c r="J481" s="9"/>
      <c r="K481" s="9"/>
      <c r="L481" s="9"/>
      <c r="M481" s="9"/>
      <c r="N481" s="9"/>
      <c r="O481" s="9"/>
      <c r="P481" s="9"/>
    </row>
    <row r="482" ht="30.0" customHeight="1">
      <c r="A482" s="4" t="s">
        <v>349</v>
      </c>
      <c r="B482" s="5" t="s">
        <v>350</v>
      </c>
      <c r="C482" s="6">
        <v>186617.41</v>
      </c>
      <c r="D482" s="7" t="str">
        <f>HYPERLINK("http://www.usrc.it/AppRendiConta/det_529_20160920.pdf","Determina nr. 529 del 20/09/2016")</f>
        <v>Determina nr. 529 del 20/09/2016</v>
      </c>
      <c r="E482" s="8" t="s">
        <v>711</v>
      </c>
      <c r="F482" s="8" t="s">
        <v>12</v>
      </c>
      <c r="G482" s="8" t="s">
        <v>85</v>
      </c>
      <c r="H482" s="9"/>
      <c r="I482" s="9"/>
      <c r="J482" s="9"/>
      <c r="K482" s="9"/>
      <c r="L482" s="9"/>
      <c r="M482" s="9"/>
      <c r="N482" s="9"/>
      <c r="O482" s="9"/>
      <c r="P482" s="9"/>
    </row>
    <row r="483" ht="30.0" customHeight="1">
      <c r="A483" s="4" t="s">
        <v>17</v>
      </c>
      <c r="B483" s="5" t="s">
        <v>18</v>
      </c>
      <c r="C483" s="6">
        <v>19079.89</v>
      </c>
      <c r="D483" s="7" t="str">
        <f t="shared" ref="D483:D485" si="36">HYPERLINK("http://www.usrc.it/AppRendiConta/det_534_20160922.pdf","Determina nr. 534 del 22/09/2016")</f>
        <v>Determina nr. 534 del 22/09/2016</v>
      </c>
      <c r="E483" s="8" t="s">
        <v>712</v>
      </c>
      <c r="F483" s="8" t="s">
        <v>12</v>
      </c>
      <c r="G483" s="5" t="s">
        <v>586</v>
      </c>
      <c r="H483" s="9"/>
      <c r="I483" s="9"/>
      <c r="J483" s="9"/>
      <c r="K483" s="9"/>
      <c r="L483" s="9"/>
      <c r="M483" s="9"/>
      <c r="N483" s="9"/>
      <c r="O483" s="9"/>
      <c r="P483" s="9"/>
    </row>
    <row r="484" ht="30.0" customHeight="1">
      <c r="A484" s="4" t="s">
        <v>209</v>
      </c>
      <c r="B484" s="5" t="s">
        <v>210</v>
      </c>
      <c r="C484" s="6">
        <v>7200.0</v>
      </c>
      <c r="D484" s="7" t="str">
        <f t="shared" si="36"/>
        <v>Determina nr. 534 del 22/09/2016</v>
      </c>
      <c r="E484" s="8" t="s">
        <v>463</v>
      </c>
      <c r="F484" s="8" t="s">
        <v>12</v>
      </c>
      <c r="G484" s="5" t="s">
        <v>586</v>
      </c>
      <c r="H484" s="9"/>
      <c r="I484" s="9"/>
      <c r="J484" s="9"/>
      <c r="K484" s="9"/>
      <c r="L484" s="9"/>
      <c r="M484" s="9"/>
      <c r="N484" s="9"/>
      <c r="O484" s="9"/>
      <c r="P484" s="9"/>
    </row>
    <row r="485" ht="30.0" customHeight="1">
      <c r="A485" s="4" t="s">
        <v>89</v>
      </c>
      <c r="B485" s="5" t="s">
        <v>90</v>
      </c>
      <c r="C485" s="6">
        <v>18000.0</v>
      </c>
      <c r="D485" s="7" t="str">
        <f t="shared" si="36"/>
        <v>Determina nr. 534 del 22/09/2016</v>
      </c>
      <c r="E485" s="8" t="s">
        <v>463</v>
      </c>
      <c r="F485" s="8" t="s">
        <v>12</v>
      </c>
      <c r="G485" s="5" t="s">
        <v>586</v>
      </c>
      <c r="H485" s="9"/>
      <c r="I485" s="9"/>
      <c r="J485" s="9"/>
      <c r="K485" s="9"/>
      <c r="L485" s="9"/>
      <c r="M485" s="9"/>
      <c r="N485" s="9"/>
      <c r="O485" s="9"/>
      <c r="P485" s="9"/>
    </row>
    <row r="486" ht="30.0" customHeight="1">
      <c r="A486" s="4" t="s">
        <v>135</v>
      </c>
      <c r="B486" s="5" t="s">
        <v>136</v>
      </c>
      <c r="C486" s="6">
        <v>1800.0</v>
      </c>
      <c r="D486" s="7" t="str">
        <f t="shared" ref="D486:D497" si="37">HYPERLINK("http://www.usrc.it/AppRendiConta/det_535_20160922.pdf","Determina nr. 535 del 22/09/2016")</f>
        <v>Determina nr. 535 del 22/09/2016</v>
      </c>
      <c r="E486" s="8" t="s">
        <v>713</v>
      </c>
      <c r="F486" s="8" t="s">
        <v>12</v>
      </c>
      <c r="G486" s="8" t="s">
        <v>460</v>
      </c>
      <c r="H486" s="9"/>
      <c r="I486" s="9"/>
      <c r="J486" s="9"/>
      <c r="K486" s="9"/>
      <c r="L486" s="9"/>
      <c r="M486" s="9"/>
      <c r="N486" s="9"/>
      <c r="O486" s="9"/>
      <c r="P486" s="9"/>
    </row>
    <row r="487" ht="30.0" customHeight="1">
      <c r="A487" s="4" t="s">
        <v>112</v>
      </c>
      <c r="B487" s="5" t="s">
        <v>113</v>
      </c>
      <c r="C487" s="6">
        <v>8757.43</v>
      </c>
      <c r="D487" s="7" t="str">
        <f t="shared" si="37"/>
        <v>Determina nr. 535 del 22/09/2016</v>
      </c>
      <c r="E487" s="8" t="s">
        <v>714</v>
      </c>
      <c r="F487" s="8" t="s">
        <v>12</v>
      </c>
      <c r="G487" s="8" t="s">
        <v>460</v>
      </c>
      <c r="H487" s="9"/>
      <c r="I487" s="9"/>
      <c r="J487" s="9"/>
      <c r="K487" s="9"/>
      <c r="L487" s="9"/>
      <c r="M487" s="9"/>
      <c r="N487" s="9"/>
      <c r="O487" s="9"/>
      <c r="P487" s="9"/>
    </row>
    <row r="488" ht="30.0" customHeight="1">
      <c r="A488" s="4" t="s">
        <v>139</v>
      </c>
      <c r="B488" s="5" t="s">
        <v>140</v>
      </c>
      <c r="C488" s="6">
        <v>8964.0</v>
      </c>
      <c r="D488" s="7" t="str">
        <f t="shared" si="37"/>
        <v>Determina nr. 535 del 22/09/2016</v>
      </c>
      <c r="E488" s="8" t="s">
        <v>714</v>
      </c>
      <c r="F488" s="8" t="s">
        <v>12</v>
      </c>
      <c r="G488" s="8" t="s">
        <v>460</v>
      </c>
      <c r="H488" s="9"/>
      <c r="I488" s="9"/>
      <c r="J488" s="9"/>
      <c r="K488" s="9"/>
      <c r="L488" s="9"/>
      <c r="M488" s="9"/>
      <c r="N488" s="9"/>
      <c r="O488" s="9"/>
      <c r="P488" s="9"/>
    </row>
    <row r="489" ht="30.0" customHeight="1">
      <c r="A489" s="4" t="s">
        <v>211</v>
      </c>
      <c r="B489" s="5" t="s">
        <v>212</v>
      </c>
      <c r="C489" s="6">
        <v>9000.0</v>
      </c>
      <c r="D489" s="7" t="str">
        <f t="shared" si="37"/>
        <v>Determina nr. 535 del 22/09/2016</v>
      </c>
      <c r="E489" s="8" t="s">
        <v>714</v>
      </c>
      <c r="F489" s="8" t="s">
        <v>12</v>
      </c>
      <c r="G489" s="8" t="s">
        <v>460</v>
      </c>
      <c r="H489" s="9"/>
      <c r="I489" s="9"/>
      <c r="J489" s="9"/>
      <c r="K489" s="9"/>
      <c r="L489" s="9"/>
      <c r="M489" s="9"/>
      <c r="N489" s="9"/>
      <c r="O489" s="9"/>
      <c r="P489" s="9"/>
    </row>
    <row r="490" ht="30.0" customHeight="1">
      <c r="A490" s="4" t="s">
        <v>209</v>
      </c>
      <c r="B490" s="5" t="s">
        <v>210</v>
      </c>
      <c r="C490" s="6">
        <v>3600.0</v>
      </c>
      <c r="D490" s="7" t="str">
        <f t="shared" si="37"/>
        <v>Determina nr. 535 del 22/09/2016</v>
      </c>
      <c r="E490" s="8" t="s">
        <v>459</v>
      </c>
      <c r="F490" s="8" t="s">
        <v>12</v>
      </c>
      <c r="G490" s="8" t="s">
        <v>460</v>
      </c>
      <c r="H490" s="9"/>
      <c r="I490" s="9"/>
      <c r="J490" s="9"/>
      <c r="K490" s="9"/>
      <c r="L490" s="9"/>
      <c r="M490" s="9"/>
      <c r="N490" s="9"/>
      <c r="O490" s="9"/>
      <c r="P490" s="9"/>
    </row>
    <row r="491" ht="30.0" customHeight="1">
      <c r="A491" s="4" t="s">
        <v>17</v>
      </c>
      <c r="B491" s="5" t="s">
        <v>18</v>
      </c>
      <c r="C491" s="6">
        <v>3600.0</v>
      </c>
      <c r="D491" s="7" t="str">
        <f t="shared" si="37"/>
        <v>Determina nr. 535 del 22/09/2016</v>
      </c>
      <c r="E491" s="8" t="s">
        <v>715</v>
      </c>
      <c r="F491" s="8" t="s">
        <v>12</v>
      </c>
      <c r="G491" s="8" t="s">
        <v>460</v>
      </c>
      <c r="H491" s="9"/>
      <c r="I491" s="9"/>
      <c r="J491" s="9"/>
      <c r="K491" s="9"/>
      <c r="L491" s="9"/>
      <c r="M491" s="9"/>
      <c r="N491" s="9"/>
      <c r="O491" s="9"/>
      <c r="P491" s="9"/>
    </row>
    <row r="492" ht="30.0" customHeight="1">
      <c r="A492" s="4" t="s">
        <v>226</v>
      </c>
      <c r="B492" s="5" t="s">
        <v>227</v>
      </c>
      <c r="C492" s="6">
        <v>1800.0</v>
      </c>
      <c r="D492" s="7" t="str">
        <f t="shared" si="37"/>
        <v>Determina nr. 535 del 22/09/2016</v>
      </c>
      <c r="E492" s="8" t="s">
        <v>713</v>
      </c>
      <c r="F492" s="8" t="s">
        <v>12</v>
      </c>
      <c r="G492" s="8" t="s">
        <v>460</v>
      </c>
      <c r="H492" s="9"/>
      <c r="I492" s="9"/>
      <c r="J492" s="9"/>
      <c r="K492" s="9"/>
      <c r="L492" s="9"/>
      <c r="M492" s="9"/>
      <c r="N492" s="9"/>
      <c r="O492" s="9"/>
      <c r="P492" s="9"/>
    </row>
    <row r="493" ht="30.0" customHeight="1">
      <c r="A493" s="4" t="s">
        <v>89</v>
      </c>
      <c r="B493" s="5" t="s">
        <v>90</v>
      </c>
      <c r="C493" s="6">
        <v>9000.0</v>
      </c>
      <c r="D493" s="7" t="str">
        <f t="shared" si="37"/>
        <v>Determina nr. 535 del 22/09/2016</v>
      </c>
      <c r="E493" s="8" t="s">
        <v>714</v>
      </c>
      <c r="F493" s="8" t="s">
        <v>12</v>
      </c>
      <c r="G493" s="8" t="s">
        <v>460</v>
      </c>
      <c r="H493" s="9"/>
      <c r="I493" s="9"/>
      <c r="J493" s="9"/>
      <c r="K493" s="9"/>
      <c r="L493" s="9"/>
      <c r="M493" s="9"/>
      <c r="N493" s="9"/>
      <c r="O493" s="9"/>
      <c r="P493" s="9"/>
    </row>
    <row r="494" ht="30.0" customHeight="1">
      <c r="A494" s="4" t="s">
        <v>34</v>
      </c>
      <c r="B494" s="5" t="s">
        <v>35</v>
      </c>
      <c r="C494" s="6">
        <v>8999.97</v>
      </c>
      <c r="D494" s="7" t="str">
        <f t="shared" si="37"/>
        <v>Determina nr. 535 del 22/09/2016</v>
      </c>
      <c r="E494" s="8" t="s">
        <v>714</v>
      </c>
      <c r="F494" s="8" t="s">
        <v>12</v>
      </c>
      <c r="G494" s="8" t="s">
        <v>460</v>
      </c>
      <c r="H494" s="9"/>
      <c r="I494" s="9"/>
      <c r="J494" s="9"/>
      <c r="K494" s="9"/>
      <c r="L494" s="9"/>
      <c r="M494" s="9"/>
      <c r="N494" s="9"/>
      <c r="O494" s="9"/>
      <c r="P494" s="9"/>
    </row>
    <row r="495" ht="30.0" customHeight="1">
      <c r="A495" s="4" t="s">
        <v>327</v>
      </c>
      <c r="B495" s="5" t="s">
        <v>328</v>
      </c>
      <c r="C495" s="6">
        <v>8765.35</v>
      </c>
      <c r="D495" s="7" t="str">
        <f t="shared" si="37"/>
        <v>Determina nr. 535 del 22/09/2016</v>
      </c>
      <c r="E495" s="8" t="s">
        <v>714</v>
      </c>
      <c r="F495" s="8" t="s">
        <v>12</v>
      </c>
      <c r="G495" s="8" t="s">
        <v>460</v>
      </c>
      <c r="H495" s="9"/>
      <c r="I495" s="9"/>
      <c r="J495" s="9"/>
      <c r="K495" s="9"/>
      <c r="L495" s="9"/>
      <c r="M495" s="9"/>
      <c r="N495" s="9"/>
      <c r="O495" s="9"/>
      <c r="P495" s="9"/>
    </row>
    <row r="496" ht="30.0" customHeight="1">
      <c r="A496" s="4" t="s">
        <v>161</v>
      </c>
      <c r="B496" s="5" t="s">
        <v>162</v>
      </c>
      <c r="C496" s="6">
        <v>9000.0</v>
      </c>
      <c r="D496" s="7" t="str">
        <f t="shared" si="37"/>
        <v>Determina nr. 535 del 22/09/2016</v>
      </c>
      <c r="E496" s="8" t="s">
        <v>714</v>
      </c>
      <c r="F496" s="8" t="s">
        <v>12</v>
      </c>
      <c r="G496" s="8" t="s">
        <v>460</v>
      </c>
      <c r="H496" s="9"/>
      <c r="I496" s="9"/>
      <c r="J496" s="9"/>
      <c r="K496" s="9"/>
      <c r="L496" s="9"/>
      <c r="M496" s="9"/>
      <c r="N496" s="9"/>
      <c r="O496" s="9"/>
      <c r="P496" s="9"/>
    </row>
    <row r="497" ht="30.0" customHeight="1">
      <c r="A497" s="4" t="s">
        <v>20</v>
      </c>
      <c r="B497" s="5" t="s">
        <v>21</v>
      </c>
      <c r="C497" s="6">
        <v>3598.26</v>
      </c>
      <c r="D497" s="7" t="str">
        <f t="shared" si="37"/>
        <v>Determina nr. 535 del 22/09/2016</v>
      </c>
      <c r="E497" s="8" t="s">
        <v>715</v>
      </c>
      <c r="F497" s="8" t="s">
        <v>12</v>
      </c>
      <c r="G497" s="8" t="s">
        <v>460</v>
      </c>
      <c r="H497" s="9"/>
      <c r="I497" s="9"/>
      <c r="J497" s="9"/>
      <c r="K497" s="9"/>
      <c r="L497" s="9"/>
      <c r="M497" s="9"/>
      <c r="N497" s="9"/>
      <c r="O497" s="9"/>
      <c r="P497" s="9"/>
    </row>
    <row r="498" ht="30.0" customHeight="1">
      <c r="A498" s="4" t="s">
        <v>139</v>
      </c>
      <c r="B498" s="5" t="s">
        <v>140</v>
      </c>
      <c r="C498" s="6">
        <v>21496.36</v>
      </c>
      <c r="D498" s="7" t="str">
        <f t="shared" ref="D498:D499" si="38">HYPERLINK("http://www.usrc.it/AppRendiConta/det_536_20160922.pdf","Determina nr. 536 del 22/09/2016")</f>
        <v>Determina nr. 536 del 22/09/2016</v>
      </c>
      <c r="E498" s="8" t="s">
        <v>208</v>
      </c>
      <c r="F498" s="8" t="s">
        <v>12</v>
      </c>
      <c r="G498" s="5" t="s">
        <v>648</v>
      </c>
      <c r="H498" s="9"/>
      <c r="I498" s="9"/>
      <c r="J498" s="9"/>
      <c r="K498" s="9"/>
      <c r="L498" s="9"/>
      <c r="M498" s="9"/>
      <c r="N498" s="9"/>
      <c r="O498" s="9"/>
      <c r="P498" s="9"/>
    </row>
    <row r="499" ht="30.0" customHeight="1">
      <c r="A499" s="4" t="s">
        <v>142</v>
      </c>
      <c r="B499" s="5" t="s">
        <v>143</v>
      </c>
      <c r="C499" s="6">
        <v>10800.0</v>
      </c>
      <c r="D499" s="7" t="str">
        <f t="shared" si="38"/>
        <v>Determina nr. 536 del 22/09/2016</v>
      </c>
      <c r="E499" s="8" t="s">
        <v>716</v>
      </c>
      <c r="F499" s="8" t="s">
        <v>12</v>
      </c>
      <c r="G499" s="5" t="s">
        <v>648</v>
      </c>
      <c r="H499" s="9"/>
      <c r="I499" s="9"/>
      <c r="J499" s="9"/>
      <c r="K499" s="9"/>
      <c r="L499" s="9"/>
      <c r="M499" s="9"/>
      <c r="N499" s="9"/>
      <c r="O499" s="9"/>
      <c r="P499" s="9"/>
    </row>
    <row r="500" ht="30.0" customHeight="1">
      <c r="A500" s="4" t="s">
        <v>26</v>
      </c>
      <c r="B500" s="5" t="s">
        <v>27</v>
      </c>
      <c r="C500" s="6">
        <v>19618.76</v>
      </c>
      <c r="D500" s="7" t="str">
        <f>HYPERLINK("http://www.usrc.it/AppRendiConta/det_537_20160922.pdf","Determina nr. 537 del 22/09/2016")</f>
        <v>Determina nr. 537 del 22/09/2016</v>
      </c>
      <c r="E500" s="8" t="s">
        <v>717</v>
      </c>
      <c r="F500" s="8" t="s">
        <v>12</v>
      </c>
      <c r="G500" s="5" t="s">
        <v>586</v>
      </c>
      <c r="H500" s="9"/>
      <c r="I500" s="9"/>
      <c r="J500" s="9"/>
      <c r="K500" s="9"/>
      <c r="L500" s="9"/>
      <c r="M500" s="9"/>
      <c r="N500" s="9"/>
      <c r="O500" s="9"/>
      <c r="P500" s="9"/>
    </row>
    <row r="501" ht="30.0" customHeight="1">
      <c r="A501" s="4" t="s">
        <v>154</v>
      </c>
      <c r="B501" s="5" t="s">
        <v>155</v>
      </c>
      <c r="C501" s="6">
        <v>4170.0</v>
      </c>
      <c r="D501" s="7" t="str">
        <f t="shared" ref="D501:D504" si="39">HYPERLINK("http://www.usrc.it/AppRendiConta/det_538_20160922.pdf","Determina nr. 538 del 22/09/2016")</f>
        <v>Determina nr. 538 del 22/09/2016</v>
      </c>
      <c r="E501" s="8" t="s">
        <v>718</v>
      </c>
      <c r="F501" s="8" t="s">
        <v>12</v>
      </c>
      <c r="G501" s="5" t="s">
        <v>30</v>
      </c>
      <c r="H501" s="9"/>
      <c r="I501" s="9"/>
      <c r="J501" s="9"/>
      <c r="K501" s="9"/>
      <c r="L501" s="9"/>
      <c r="M501" s="9"/>
      <c r="N501" s="9"/>
      <c r="O501" s="9"/>
      <c r="P501" s="9"/>
    </row>
    <row r="502" ht="30.0" customHeight="1">
      <c r="A502" s="4" t="s">
        <v>235</v>
      </c>
      <c r="B502" s="5" t="s">
        <v>236</v>
      </c>
      <c r="C502" s="6">
        <v>2200.0</v>
      </c>
      <c r="D502" s="7" t="str">
        <f t="shared" si="39"/>
        <v>Determina nr. 538 del 22/09/2016</v>
      </c>
      <c r="E502" s="8" t="s">
        <v>719</v>
      </c>
      <c r="F502" s="8" t="s">
        <v>12</v>
      </c>
      <c r="G502" s="5" t="s">
        <v>30</v>
      </c>
      <c r="H502" s="9"/>
      <c r="I502" s="9"/>
      <c r="J502" s="9"/>
      <c r="K502" s="9"/>
      <c r="L502" s="9"/>
      <c r="M502" s="9"/>
      <c r="N502" s="9"/>
      <c r="O502" s="9"/>
      <c r="P502" s="9"/>
    </row>
    <row r="503" ht="30.0" customHeight="1">
      <c r="A503" s="4" t="s">
        <v>205</v>
      </c>
      <c r="B503" s="5" t="s">
        <v>206</v>
      </c>
      <c r="C503" s="6">
        <v>62500.0</v>
      </c>
      <c r="D503" s="7" t="str">
        <f t="shared" si="39"/>
        <v>Determina nr. 538 del 22/09/2016</v>
      </c>
      <c r="E503" s="8" t="s">
        <v>720</v>
      </c>
      <c r="F503" s="8" t="s">
        <v>12</v>
      </c>
      <c r="G503" s="5" t="s">
        <v>30</v>
      </c>
      <c r="H503" s="9"/>
      <c r="I503" s="9"/>
      <c r="J503" s="9"/>
      <c r="K503" s="9"/>
      <c r="L503" s="9"/>
      <c r="M503" s="9"/>
      <c r="N503" s="9"/>
      <c r="O503" s="9"/>
      <c r="P503" s="9"/>
    </row>
    <row r="504" ht="30.0" customHeight="1">
      <c r="A504" s="4" t="s">
        <v>115</v>
      </c>
      <c r="B504" s="5" t="s">
        <v>116</v>
      </c>
      <c r="C504" s="6">
        <v>26400.0</v>
      </c>
      <c r="D504" s="7" t="str">
        <f t="shared" si="39"/>
        <v>Determina nr. 538 del 22/09/2016</v>
      </c>
      <c r="E504" s="8" t="s">
        <v>718</v>
      </c>
      <c r="F504" s="8" t="s">
        <v>12</v>
      </c>
      <c r="G504" s="5" t="s">
        <v>30</v>
      </c>
      <c r="H504" s="9"/>
      <c r="I504" s="9"/>
      <c r="J504" s="9"/>
      <c r="K504" s="9"/>
      <c r="L504" s="9"/>
      <c r="M504" s="9"/>
      <c r="N504" s="9"/>
      <c r="O504" s="9"/>
      <c r="P504" s="9"/>
    </row>
    <row r="505" ht="30.0" customHeight="1">
      <c r="A505" s="4" t="s">
        <v>180</v>
      </c>
      <c r="B505" s="5" t="s">
        <v>181</v>
      </c>
      <c r="C505" s="6">
        <v>608.0</v>
      </c>
      <c r="D505" s="7" t="str">
        <f t="shared" ref="D505:D506" si="40">HYPERLINK("http://www.usrc.it/AppRendiConta/det_539_20160922.pdf","Determina nr. 539 del 22/09/2016")</f>
        <v>Determina nr. 539 del 22/09/2016</v>
      </c>
      <c r="E505" s="8" t="s">
        <v>721</v>
      </c>
      <c r="F505" s="8" t="s">
        <v>12</v>
      </c>
      <c r="G505" s="5" t="s">
        <v>30</v>
      </c>
      <c r="H505" s="9"/>
      <c r="I505" s="9"/>
      <c r="J505" s="9"/>
      <c r="K505" s="9"/>
      <c r="L505" s="9"/>
      <c r="M505" s="9"/>
      <c r="N505" s="9"/>
      <c r="O505" s="9"/>
      <c r="P505" s="9"/>
    </row>
    <row r="506" ht="30.0" customHeight="1">
      <c r="A506" s="4" t="s">
        <v>722</v>
      </c>
      <c r="B506" s="5" t="s">
        <v>723</v>
      </c>
      <c r="C506" s="6">
        <v>4400.0</v>
      </c>
      <c r="D506" s="7" t="str">
        <f t="shared" si="40"/>
        <v>Determina nr. 539 del 22/09/2016</v>
      </c>
      <c r="E506" s="8" t="s">
        <v>724</v>
      </c>
      <c r="F506" s="8" t="s">
        <v>12</v>
      </c>
      <c r="G506" s="5" t="s">
        <v>30</v>
      </c>
      <c r="H506" s="9"/>
      <c r="I506" s="9"/>
      <c r="J506" s="9"/>
      <c r="K506" s="9"/>
      <c r="L506" s="9"/>
      <c r="M506" s="9"/>
      <c r="N506" s="9"/>
      <c r="O506" s="9"/>
      <c r="P506" s="9"/>
    </row>
    <row r="507" ht="30.0" customHeight="1">
      <c r="A507" s="4" t="s">
        <v>139</v>
      </c>
      <c r="B507" s="5" t="s">
        <v>140</v>
      </c>
      <c r="C507" s="6">
        <v>9464.2</v>
      </c>
      <c r="D507" s="7" t="str">
        <f t="shared" ref="D507:D513" si="41">HYPERLINK("http://www.usrc.it/AppRendiConta/det_540_20160922.pdf","Determina nr. 540 del 22/09/2016")</f>
        <v>Determina nr. 540 del 22/09/2016</v>
      </c>
      <c r="E507" s="8" t="s">
        <v>725</v>
      </c>
      <c r="F507" s="8" t="s">
        <v>12</v>
      </c>
      <c r="G507" s="5" t="s">
        <v>30</v>
      </c>
      <c r="H507" s="9"/>
      <c r="I507" s="9"/>
      <c r="J507" s="9"/>
      <c r="K507" s="9"/>
      <c r="L507" s="9"/>
      <c r="M507" s="9"/>
      <c r="N507" s="9"/>
      <c r="O507" s="9"/>
      <c r="P507" s="9"/>
    </row>
    <row r="508" ht="30.0" customHeight="1">
      <c r="A508" s="4" t="s">
        <v>304</v>
      </c>
      <c r="B508" s="5" t="s">
        <v>305</v>
      </c>
      <c r="C508" s="6">
        <v>534.0</v>
      </c>
      <c r="D508" s="7" t="str">
        <f t="shared" si="41"/>
        <v>Determina nr. 540 del 22/09/2016</v>
      </c>
      <c r="E508" s="8" t="s">
        <v>498</v>
      </c>
      <c r="F508" s="8" t="s">
        <v>12</v>
      </c>
      <c r="G508" s="5" t="s">
        <v>30</v>
      </c>
      <c r="H508" s="9"/>
      <c r="I508" s="9"/>
      <c r="J508" s="9"/>
      <c r="K508" s="9"/>
      <c r="L508" s="9"/>
      <c r="M508" s="9"/>
      <c r="N508" s="9"/>
      <c r="O508" s="9"/>
      <c r="P508" s="9"/>
    </row>
    <row r="509" ht="30.0" customHeight="1">
      <c r="A509" s="4" t="s">
        <v>142</v>
      </c>
      <c r="B509" s="5" t="s">
        <v>143</v>
      </c>
      <c r="C509" s="6">
        <v>2654.0</v>
      </c>
      <c r="D509" s="7" t="str">
        <f t="shared" si="41"/>
        <v>Determina nr. 540 del 22/09/2016</v>
      </c>
      <c r="E509" s="8" t="s">
        <v>726</v>
      </c>
      <c r="F509" s="8" t="s">
        <v>12</v>
      </c>
      <c r="G509" s="5" t="s">
        <v>30</v>
      </c>
      <c r="H509" s="9"/>
      <c r="I509" s="9"/>
      <c r="J509" s="9"/>
      <c r="K509" s="9"/>
      <c r="L509" s="9"/>
      <c r="M509" s="9"/>
      <c r="N509" s="9"/>
      <c r="O509" s="9"/>
      <c r="P509" s="9"/>
    </row>
    <row r="510" ht="30.0" customHeight="1">
      <c r="A510" s="4" t="s">
        <v>119</v>
      </c>
      <c r="B510" s="5" t="s">
        <v>120</v>
      </c>
      <c r="C510" s="6">
        <v>1708.0</v>
      </c>
      <c r="D510" s="7" t="str">
        <f t="shared" si="41"/>
        <v>Determina nr. 540 del 22/09/2016</v>
      </c>
      <c r="E510" s="8" t="s">
        <v>727</v>
      </c>
      <c r="F510" s="8" t="s">
        <v>12</v>
      </c>
      <c r="G510" s="5" t="s">
        <v>30</v>
      </c>
      <c r="H510" s="9"/>
      <c r="I510" s="9"/>
      <c r="J510" s="9"/>
      <c r="K510" s="9"/>
      <c r="L510" s="9"/>
      <c r="M510" s="9"/>
      <c r="N510" s="9"/>
      <c r="O510" s="9"/>
      <c r="P510" s="9"/>
    </row>
    <row r="511" ht="30.0" customHeight="1">
      <c r="A511" s="4" t="s">
        <v>205</v>
      </c>
      <c r="B511" s="5" t="s">
        <v>206</v>
      </c>
      <c r="C511" s="6">
        <v>5124.0</v>
      </c>
      <c r="D511" s="7" t="str">
        <f t="shared" si="41"/>
        <v>Determina nr. 540 del 22/09/2016</v>
      </c>
      <c r="E511" s="8" t="s">
        <v>728</v>
      </c>
      <c r="F511" s="8" t="s">
        <v>12</v>
      </c>
      <c r="G511" s="5" t="s">
        <v>30</v>
      </c>
      <c r="H511" s="9"/>
      <c r="I511" s="9"/>
      <c r="J511" s="9"/>
      <c r="K511" s="9"/>
      <c r="L511" s="9"/>
      <c r="M511" s="9"/>
      <c r="N511" s="9"/>
      <c r="O511" s="9"/>
      <c r="P511" s="9"/>
    </row>
    <row r="512" ht="30.0" customHeight="1">
      <c r="A512" s="4" t="s">
        <v>115</v>
      </c>
      <c r="B512" s="5" t="s">
        <v>116</v>
      </c>
      <c r="C512" s="6">
        <v>3172.0</v>
      </c>
      <c r="D512" s="7" t="str">
        <f t="shared" si="41"/>
        <v>Determina nr. 540 del 22/09/2016</v>
      </c>
      <c r="E512" s="8" t="s">
        <v>729</v>
      </c>
      <c r="F512" s="8" t="s">
        <v>12</v>
      </c>
      <c r="G512" s="5" t="s">
        <v>30</v>
      </c>
      <c r="H512" s="9"/>
      <c r="I512" s="9"/>
      <c r="J512" s="9"/>
      <c r="K512" s="9"/>
      <c r="L512" s="9"/>
      <c r="M512" s="9"/>
      <c r="N512" s="9"/>
      <c r="O512" s="9"/>
      <c r="P512" s="9"/>
    </row>
    <row r="513" ht="30.0" customHeight="1">
      <c r="A513" s="4" t="s">
        <v>34</v>
      </c>
      <c r="B513" s="8" t="s">
        <v>35</v>
      </c>
      <c r="C513" s="6">
        <v>6081.0</v>
      </c>
      <c r="D513" s="7" t="str">
        <f t="shared" si="41"/>
        <v>Determina nr. 540 del 22/09/2016</v>
      </c>
      <c r="E513" s="8" t="s">
        <v>730</v>
      </c>
      <c r="F513" s="8" t="s">
        <v>12</v>
      </c>
      <c r="G513" s="5" t="s">
        <v>30</v>
      </c>
      <c r="H513" s="9"/>
      <c r="I513" s="9"/>
      <c r="J513" s="9"/>
      <c r="K513" s="9"/>
      <c r="L513" s="9"/>
      <c r="M513" s="9"/>
      <c r="N513" s="9"/>
      <c r="O513" s="9"/>
      <c r="P513" s="9"/>
    </row>
    <row r="514" ht="30.0" customHeight="1">
      <c r="A514" s="4" t="s">
        <v>292</v>
      </c>
      <c r="B514" s="5" t="s">
        <v>293</v>
      </c>
      <c r="C514" s="6">
        <v>1952.0</v>
      </c>
      <c r="D514" s="7" t="str">
        <f>HYPERLINK("http://www.usrc.it/AppRendiConta/det_541_20160922.pdf","Determina nr. 541 del 22/09/2016")</f>
        <v>Determina nr. 541 del 22/09/2016</v>
      </c>
      <c r="E514" s="8" t="s">
        <v>731</v>
      </c>
      <c r="F514" s="8" t="s">
        <v>12</v>
      </c>
      <c r="G514" s="5" t="s">
        <v>30</v>
      </c>
      <c r="H514" s="9"/>
      <c r="I514" s="9"/>
      <c r="J514" s="9"/>
      <c r="K514" s="9"/>
      <c r="L514" s="9"/>
      <c r="M514" s="9"/>
      <c r="N514" s="9"/>
      <c r="O514" s="9"/>
      <c r="P514" s="9"/>
    </row>
    <row r="515" ht="30.0" customHeight="1">
      <c r="A515" s="4" t="s">
        <v>135</v>
      </c>
      <c r="B515" s="5" t="s">
        <v>136</v>
      </c>
      <c r="C515" s="6">
        <v>12709.68</v>
      </c>
      <c r="D515" s="7" t="str">
        <f t="shared" ref="D515:D522" si="42">HYPERLINK("http://www.usrc.it/AppRendiConta/det_542_20160922.pdf","Determina nr. 542 del 22/09/2016")</f>
        <v>Determina nr. 542 del 22/09/2016</v>
      </c>
      <c r="E515" s="8" t="s">
        <v>732</v>
      </c>
      <c r="F515" s="8" t="s">
        <v>12</v>
      </c>
      <c r="G515" s="5" t="s">
        <v>626</v>
      </c>
      <c r="H515" s="9"/>
      <c r="I515" s="9"/>
      <c r="J515" s="9"/>
      <c r="K515" s="9"/>
      <c r="L515" s="9"/>
      <c r="M515" s="9"/>
      <c r="N515" s="9"/>
      <c r="O515" s="9"/>
      <c r="P515" s="9"/>
    </row>
    <row r="516" ht="30.0" customHeight="1">
      <c r="A516" s="4" t="s">
        <v>68</v>
      </c>
      <c r="B516" s="5" t="s">
        <v>69</v>
      </c>
      <c r="C516" s="6">
        <v>27900.0</v>
      </c>
      <c r="D516" s="7" t="str">
        <f t="shared" si="42"/>
        <v>Determina nr. 542 del 22/09/2016</v>
      </c>
      <c r="E516" s="8" t="s">
        <v>303</v>
      </c>
      <c r="F516" s="8" t="s">
        <v>12</v>
      </c>
      <c r="G516" s="5" t="s">
        <v>626</v>
      </c>
      <c r="H516" s="9"/>
      <c r="I516" s="9"/>
      <c r="J516" s="9"/>
      <c r="K516" s="9"/>
      <c r="L516" s="9"/>
      <c r="M516" s="9"/>
      <c r="N516" s="9"/>
      <c r="O516" s="9"/>
      <c r="P516" s="9"/>
    </row>
    <row r="517" ht="30.0" customHeight="1">
      <c r="A517" s="4" t="s">
        <v>139</v>
      </c>
      <c r="B517" s="5" t="s">
        <v>140</v>
      </c>
      <c r="C517" s="6">
        <v>7050.0</v>
      </c>
      <c r="D517" s="7" t="str">
        <f t="shared" si="42"/>
        <v>Determina nr. 542 del 22/09/2016</v>
      </c>
      <c r="E517" s="8" t="s">
        <v>629</v>
      </c>
      <c r="F517" s="8" t="s">
        <v>12</v>
      </c>
      <c r="G517" s="5" t="s">
        <v>626</v>
      </c>
      <c r="H517" s="9"/>
      <c r="I517" s="9"/>
      <c r="J517" s="9"/>
      <c r="K517" s="9"/>
      <c r="L517" s="9"/>
      <c r="M517" s="9"/>
      <c r="N517" s="9"/>
      <c r="O517" s="9"/>
      <c r="P517" s="9"/>
    </row>
    <row r="518" ht="30.0" customHeight="1">
      <c r="A518" s="4" t="s">
        <v>43</v>
      </c>
      <c r="B518" s="5" t="s">
        <v>44</v>
      </c>
      <c r="C518" s="6">
        <v>17700.0</v>
      </c>
      <c r="D518" s="7" t="str">
        <f t="shared" si="42"/>
        <v>Determina nr. 542 del 22/09/2016</v>
      </c>
      <c r="E518" s="8" t="s">
        <v>733</v>
      </c>
      <c r="F518" s="8" t="s">
        <v>12</v>
      </c>
      <c r="G518" s="5" t="s">
        <v>626</v>
      </c>
      <c r="H518" s="9"/>
      <c r="I518" s="9"/>
      <c r="J518" s="9"/>
      <c r="K518" s="9"/>
      <c r="L518" s="9"/>
      <c r="M518" s="9"/>
      <c r="N518" s="9"/>
      <c r="O518" s="9"/>
      <c r="P518" s="9"/>
    </row>
    <row r="519" ht="30.0" customHeight="1">
      <c r="A519" s="4" t="s">
        <v>154</v>
      </c>
      <c r="B519" s="5" t="s">
        <v>155</v>
      </c>
      <c r="C519" s="6">
        <v>3600.0</v>
      </c>
      <c r="D519" s="7" t="str">
        <f t="shared" si="42"/>
        <v>Determina nr. 542 del 22/09/2016</v>
      </c>
      <c r="E519" s="8" t="s">
        <v>732</v>
      </c>
      <c r="F519" s="8" t="s">
        <v>12</v>
      </c>
      <c r="G519" s="5" t="s">
        <v>626</v>
      </c>
      <c r="H519" s="9"/>
      <c r="I519" s="9"/>
      <c r="J519" s="9"/>
      <c r="K519" s="9"/>
      <c r="L519" s="9"/>
      <c r="M519" s="9"/>
      <c r="N519" s="9"/>
      <c r="O519" s="9"/>
      <c r="P519" s="9"/>
    </row>
    <row r="520" ht="30.0" customHeight="1">
      <c r="A520" s="4" t="s">
        <v>59</v>
      </c>
      <c r="B520" s="5" t="s">
        <v>60</v>
      </c>
      <c r="C520" s="6">
        <v>60500.0</v>
      </c>
      <c r="D520" s="7" t="str">
        <f t="shared" si="42"/>
        <v>Determina nr. 542 del 22/09/2016</v>
      </c>
      <c r="E520" s="8" t="s">
        <v>732</v>
      </c>
      <c r="F520" s="8" t="s">
        <v>12</v>
      </c>
      <c r="G520" s="5" t="s">
        <v>626</v>
      </c>
      <c r="H520" s="9"/>
      <c r="I520" s="9"/>
      <c r="J520" s="9"/>
      <c r="K520" s="9"/>
      <c r="L520" s="9"/>
      <c r="M520" s="9"/>
      <c r="N520" s="9"/>
      <c r="O520" s="9"/>
      <c r="P520" s="9"/>
    </row>
    <row r="521" ht="30.0" customHeight="1">
      <c r="A521" s="4" t="s">
        <v>115</v>
      </c>
      <c r="B521" s="5" t="s">
        <v>116</v>
      </c>
      <c r="C521" s="6">
        <v>14767.0</v>
      </c>
      <c r="D521" s="7" t="str">
        <f t="shared" si="42"/>
        <v>Determina nr. 542 del 22/09/2016</v>
      </c>
      <c r="E521" s="8" t="s">
        <v>734</v>
      </c>
      <c r="F521" s="8" t="s">
        <v>12</v>
      </c>
      <c r="G521" s="5" t="s">
        <v>626</v>
      </c>
      <c r="H521" s="9"/>
      <c r="I521" s="9"/>
      <c r="J521" s="9"/>
      <c r="K521" s="9"/>
      <c r="L521" s="9"/>
      <c r="M521" s="9"/>
      <c r="N521" s="9"/>
      <c r="O521" s="9"/>
      <c r="P521" s="9"/>
    </row>
    <row r="522" ht="30.0" customHeight="1">
      <c r="A522" s="4" t="s">
        <v>161</v>
      </c>
      <c r="B522" s="5" t="s">
        <v>162</v>
      </c>
      <c r="C522" s="6">
        <v>13800.0</v>
      </c>
      <c r="D522" s="7" t="str">
        <f t="shared" si="42"/>
        <v>Determina nr. 542 del 22/09/2016</v>
      </c>
      <c r="E522" s="8" t="s">
        <v>635</v>
      </c>
      <c r="F522" s="8" t="s">
        <v>12</v>
      </c>
      <c r="G522" s="5" t="s">
        <v>626</v>
      </c>
      <c r="H522" s="9"/>
      <c r="I522" s="9"/>
      <c r="J522" s="9"/>
      <c r="K522" s="9"/>
      <c r="L522" s="9"/>
      <c r="M522" s="9"/>
      <c r="N522" s="9"/>
      <c r="O522" s="9"/>
      <c r="P522" s="9"/>
    </row>
    <row r="523" ht="30.0" customHeight="1">
      <c r="A523" s="4" t="s">
        <v>174</v>
      </c>
      <c r="B523" s="14" t="s">
        <v>175</v>
      </c>
      <c r="C523" s="6">
        <v>6800.0</v>
      </c>
      <c r="D523" s="7" t="str">
        <f t="shared" ref="D523:D525" si="43">HYPERLINK("http://www.usrc.it/AppRendiConta/det_543_20160922.pdf","Determina nr. 543 del 22/09/2016")</f>
        <v>Determina nr. 543 del 22/09/2016</v>
      </c>
      <c r="E523" s="8" t="s">
        <v>635</v>
      </c>
      <c r="F523" s="8" t="s">
        <v>12</v>
      </c>
      <c r="G523" s="5" t="s">
        <v>626</v>
      </c>
      <c r="H523" s="9"/>
      <c r="I523" s="9"/>
      <c r="J523" s="9"/>
      <c r="K523" s="9"/>
      <c r="L523" s="9"/>
      <c r="M523" s="9"/>
      <c r="N523" s="9"/>
      <c r="O523" s="9"/>
      <c r="P523" s="9"/>
    </row>
    <row r="524" ht="30.0" customHeight="1">
      <c r="A524" s="4" t="s">
        <v>292</v>
      </c>
      <c r="B524" s="5" t="s">
        <v>293</v>
      </c>
      <c r="C524" s="6">
        <v>32.26</v>
      </c>
      <c r="D524" s="7" t="str">
        <f t="shared" si="43"/>
        <v>Determina nr. 543 del 22/09/2016</v>
      </c>
      <c r="E524" s="8" t="s">
        <v>735</v>
      </c>
      <c r="F524" s="8" t="s">
        <v>12</v>
      </c>
      <c r="G524" s="5" t="s">
        <v>626</v>
      </c>
      <c r="H524" s="9"/>
      <c r="I524" s="9"/>
      <c r="J524" s="9"/>
      <c r="K524" s="9"/>
      <c r="L524" s="9"/>
      <c r="M524" s="9"/>
      <c r="N524" s="9"/>
      <c r="O524" s="9"/>
      <c r="P524" s="9"/>
    </row>
    <row r="525" ht="30.0" customHeight="1">
      <c r="A525" s="4" t="s">
        <v>189</v>
      </c>
      <c r="B525" s="5" t="s">
        <v>190</v>
      </c>
      <c r="C525" s="6">
        <v>1100.0</v>
      </c>
      <c r="D525" s="7" t="str">
        <f t="shared" si="43"/>
        <v>Determina nr. 543 del 22/09/2016</v>
      </c>
      <c r="E525" s="8" t="s">
        <v>736</v>
      </c>
      <c r="F525" s="8" t="s">
        <v>12</v>
      </c>
      <c r="G525" s="5" t="s">
        <v>626</v>
      </c>
      <c r="H525" s="9"/>
      <c r="I525" s="9"/>
      <c r="J525" s="9"/>
      <c r="K525" s="9"/>
      <c r="L525" s="9"/>
      <c r="M525" s="9"/>
      <c r="N525" s="9"/>
      <c r="O525" s="9"/>
      <c r="P525" s="9"/>
    </row>
    <row r="526" ht="30.0" customHeight="1">
      <c r="A526" s="4" t="s">
        <v>17</v>
      </c>
      <c r="B526" s="5" t="s">
        <v>18</v>
      </c>
      <c r="C526" s="6">
        <v>62232.67</v>
      </c>
      <c r="D526" s="7" t="str">
        <f>HYPERLINK("http://www.usrc.it/AppRendiConta/det_546_20160922.pdf","Determina nr. 546 del 22/09/2016")</f>
        <v>Determina nr. 546 del 22/09/2016</v>
      </c>
      <c r="E526" s="8" t="s">
        <v>737</v>
      </c>
      <c r="F526" s="8" t="s">
        <v>12</v>
      </c>
      <c r="G526" s="8" t="s">
        <v>67</v>
      </c>
      <c r="H526" s="9"/>
      <c r="I526" s="9"/>
      <c r="J526" s="9"/>
      <c r="K526" s="9"/>
      <c r="L526" s="9"/>
      <c r="M526" s="9"/>
      <c r="N526" s="9"/>
      <c r="O526" s="9"/>
      <c r="P526" s="9"/>
    </row>
    <row r="527" ht="30.0" customHeight="1">
      <c r="A527" s="4" t="s">
        <v>368</v>
      </c>
      <c r="B527" s="5" t="s">
        <v>214</v>
      </c>
      <c r="C527" s="6">
        <v>40000.0</v>
      </c>
      <c r="D527" s="7" t="str">
        <f>HYPERLINK("http://www.usrc.it/AppRendiConta/det_547_20160922.pdf","Determina nr. 547 del 22/09/2016")</f>
        <v>Determina nr. 547 del 22/09/2016</v>
      </c>
      <c r="E527" s="8" t="s">
        <v>738</v>
      </c>
      <c r="F527" s="8" t="s">
        <v>12</v>
      </c>
      <c r="G527" s="8" t="s">
        <v>67</v>
      </c>
      <c r="H527" s="9"/>
      <c r="I527" s="9"/>
      <c r="J527" s="9"/>
      <c r="K527" s="9"/>
      <c r="L527" s="9"/>
      <c r="M527" s="9"/>
      <c r="N527" s="9"/>
      <c r="O527" s="9"/>
      <c r="P527" s="9"/>
    </row>
    <row r="528" ht="30.0" customHeight="1">
      <c r="A528" s="4" t="s">
        <v>135</v>
      </c>
      <c r="B528" s="5" t="s">
        <v>136</v>
      </c>
      <c r="C528" s="6">
        <v>82805.14</v>
      </c>
      <c r="D528" s="7" t="str">
        <f>HYPERLINK("http://www.usrc.it/AppRendiConta/det_548_20160922.pdf","Determina nr. 548 del 22/09/2016")</f>
        <v>Determina nr. 548 del 22/09/2016</v>
      </c>
      <c r="E528" s="8" t="s">
        <v>739</v>
      </c>
      <c r="F528" s="8" t="s">
        <v>12</v>
      </c>
      <c r="G528" s="8" t="s">
        <v>371</v>
      </c>
      <c r="H528" s="9"/>
      <c r="I528" s="9"/>
      <c r="J528" s="9"/>
      <c r="K528" s="9"/>
      <c r="L528" s="9"/>
      <c r="M528" s="9"/>
      <c r="N528" s="9"/>
      <c r="O528" s="9"/>
      <c r="P528" s="9"/>
    </row>
    <row r="529" ht="30.0" customHeight="1">
      <c r="A529" s="4" t="s">
        <v>14</v>
      </c>
      <c r="B529" s="5" t="s">
        <v>15</v>
      </c>
      <c r="C529" s="6">
        <v>11000.0</v>
      </c>
      <c r="D529" s="7" t="str">
        <f>HYPERLINK("http://www.usrc.it/AppRendiConta/det_549_20160922.pdf","Determina nr. 549 del 22/09/2016")</f>
        <v>Determina nr. 549 del 22/09/2016</v>
      </c>
      <c r="E529" s="8" t="s">
        <v>740</v>
      </c>
      <c r="F529" s="8" t="s">
        <v>12</v>
      </c>
      <c r="G529" s="8" t="s">
        <v>67</v>
      </c>
      <c r="H529" s="9"/>
      <c r="I529" s="9"/>
      <c r="J529" s="9"/>
      <c r="K529" s="9"/>
      <c r="L529" s="9"/>
      <c r="M529" s="9"/>
      <c r="N529" s="9"/>
      <c r="O529" s="9"/>
      <c r="P529" s="9"/>
    </row>
    <row r="530" ht="30.0" customHeight="1">
      <c r="A530" s="4" t="s">
        <v>171</v>
      </c>
      <c r="B530" s="5" t="s">
        <v>172</v>
      </c>
      <c r="C530" s="6">
        <v>44280.62</v>
      </c>
      <c r="D530" s="7" t="str">
        <f>HYPERLINK("http://www.usrc.it/AppRendiConta/det_553_20160926.pdf","Determina nr. 553 del 26/09/2016")</f>
        <v>Determina nr. 553 del 26/09/2016</v>
      </c>
      <c r="E530" s="8" t="s">
        <v>741</v>
      </c>
      <c r="F530" s="8" t="s">
        <v>12</v>
      </c>
      <c r="G530" s="8" t="s">
        <v>85</v>
      </c>
      <c r="H530" s="9"/>
      <c r="I530" s="9"/>
      <c r="J530" s="9"/>
      <c r="K530" s="9"/>
      <c r="L530" s="9"/>
      <c r="M530" s="9"/>
      <c r="N530" s="9"/>
      <c r="O530" s="9"/>
      <c r="P530" s="9"/>
    </row>
    <row r="531" ht="30.0" customHeight="1">
      <c r="A531" s="4" t="s">
        <v>40</v>
      </c>
      <c r="B531" s="5" t="s">
        <v>41</v>
      </c>
      <c r="C531" s="6">
        <v>924.5</v>
      </c>
      <c r="D531" s="7" t="str">
        <f>HYPERLINK("http://www.usrc.it/AppRendiConta/det_557_20160928.pdf","Determina nr. 557 del 28/09/2016")</f>
        <v>Determina nr. 557 del 28/09/2016</v>
      </c>
      <c r="E531" s="8" t="s">
        <v>742</v>
      </c>
      <c r="F531" s="8" t="s">
        <v>12</v>
      </c>
      <c r="G531" s="8" t="s">
        <v>67</v>
      </c>
      <c r="H531" s="9"/>
      <c r="I531" s="9"/>
      <c r="J531" s="9"/>
      <c r="K531" s="9"/>
      <c r="L531" s="9"/>
      <c r="M531" s="9"/>
      <c r="N531" s="9"/>
      <c r="O531" s="9"/>
      <c r="P531" s="9"/>
    </row>
    <row r="532" ht="30.0" customHeight="1">
      <c r="A532" s="4" t="s">
        <v>43</v>
      </c>
      <c r="B532" s="5" t="s">
        <v>44</v>
      </c>
      <c r="C532" s="6">
        <v>2744.24</v>
      </c>
      <c r="D532" s="7" t="str">
        <f>HYPERLINK("http://www.usrc.it/AppRendiConta/det_559_20160928.pdf","Determina nr. 559 del 28/09/2016")</f>
        <v>Determina nr. 559 del 28/09/2016</v>
      </c>
      <c r="E532" s="8" t="s">
        <v>743</v>
      </c>
      <c r="F532" s="8" t="s">
        <v>12</v>
      </c>
      <c r="G532" s="8" t="s">
        <v>67</v>
      </c>
      <c r="H532" s="9"/>
      <c r="I532" s="9"/>
      <c r="J532" s="9"/>
      <c r="K532" s="9"/>
      <c r="L532" s="9"/>
      <c r="M532" s="9"/>
      <c r="N532" s="9"/>
      <c r="O532" s="9"/>
      <c r="P532" s="9"/>
    </row>
    <row r="533" ht="30.0" customHeight="1">
      <c r="A533" s="4" t="s">
        <v>292</v>
      </c>
      <c r="B533" s="5" t="s">
        <v>293</v>
      </c>
      <c r="C533" s="6">
        <v>2534289.14</v>
      </c>
      <c r="D533" s="7" t="str">
        <f>HYPERLINK("http://www.usrc.it/AppRendiConta/det_562_20160929.pdf","Determina nr. 562 del 29/09/2016")</f>
        <v>Determina nr. 562 del 29/09/2016</v>
      </c>
      <c r="E533" s="8" t="s">
        <v>744</v>
      </c>
      <c r="F533" s="8" t="s">
        <v>12</v>
      </c>
      <c r="G533" s="8" t="s">
        <v>678</v>
      </c>
      <c r="H533" s="9"/>
      <c r="I533" s="9"/>
      <c r="J533" s="9"/>
      <c r="K533" s="9"/>
      <c r="L533" s="9"/>
      <c r="M533" s="9"/>
      <c r="N533" s="9"/>
      <c r="O533" s="9"/>
      <c r="P533" s="9"/>
    </row>
    <row r="534" ht="30.0" customHeight="1">
      <c r="A534" s="4" t="s">
        <v>115</v>
      </c>
      <c r="B534" s="5" t="s">
        <v>116</v>
      </c>
      <c r="C534" s="6">
        <v>3051887.51</v>
      </c>
      <c r="D534" s="7" t="str">
        <f>HYPERLINK("http://www.usrc.it/AppRendiConta/det_565_20161003.pdf","Determina nr. 565 del 03/10/2016")</f>
        <v>Determina nr. 565 del 03/10/2016</v>
      </c>
      <c r="E534" s="8" t="s">
        <v>745</v>
      </c>
      <c r="F534" s="8" t="s">
        <v>12</v>
      </c>
      <c r="G534" s="8" t="s">
        <v>685</v>
      </c>
      <c r="H534" s="9"/>
      <c r="I534" s="9"/>
      <c r="J534" s="9"/>
      <c r="K534" s="9"/>
      <c r="L534" s="9"/>
      <c r="M534" s="9"/>
      <c r="N534" s="9"/>
      <c r="O534" s="9"/>
      <c r="P534" s="9"/>
    </row>
    <row r="535" ht="30.0" customHeight="1">
      <c r="A535" s="4" t="s">
        <v>72</v>
      </c>
      <c r="B535" s="5" t="s">
        <v>73</v>
      </c>
      <c r="C535" s="6">
        <v>5298157.45</v>
      </c>
      <c r="D535" s="7" t="str">
        <f>HYPERLINK("http://www.usrc.it/AppRendiConta/det_567_20161003.pdf","Determina nr. 567 del 03/10/2016")</f>
        <v>Determina nr. 567 del 03/10/2016</v>
      </c>
      <c r="E535" s="8" t="s">
        <v>746</v>
      </c>
      <c r="F535" s="8" t="s">
        <v>12</v>
      </c>
      <c r="G535" s="8" t="s">
        <v>747</v>
      </c>
      <c r="H535" s="9"/>
      <c r="I535" s="9"/>
      <c r="J535" s="9"/>
      <c r="K535" s="9"/>
      <c r="L535" s="9"/>
      <c r="M535" s="9"/>
      <c r="N535" s="9"/>
      <c r="O535" s="9"/>
      <c r="P535" s="9"/>
    </row>
    <row r="536" ht="30.0" customHeight="1">
      <c r="A536" s="4" t="s">
        <v>119</v>
      </c>
      <c r="B536" s="5" t="s">
        <v>120</v>
      </c>
      <c r="C536" s="6">
        <v>4065178.99</v>
      </c>
      <c r="D536" s="7" t="str">
        <f>HYPERLINK("http://www.usrc.it/AppRendiConta/det_568_20161003.pdf","Determina nr. 568 del 03/10/2016")</f>
        <v>Determina nr. 568 del 03/10/2016</v>
      </c>
      <c r="E536" s="8" t="s">
        <v>748</v>
      </c>
      <c r="F536" s="8" t="s">
        <v>12</v>
      </c>
      <c r="G536" s="8" t="s">
        <v>749</v>
      </c>
      <c r="H536" s="9"/>
      <c r="I536" s="9"/>
      <c r="J536" s="9"/>
      <c r="K536" s="9"/>
      <c r="L536" s="9"/>
      <c r="M536" s="9"/>
      <c r="N536" s="9"/>
      <c r="O536" s="9"/>
      <c r="P536" s="9"/>
    </row>
    <row r="537" ht="30.0" customHeight="1">
      <c r="A537" s="4" t="s">
        <v>556</v>
      </c>
      <c r="B537" s="5" t="s">
        <v>557</v>
      </c>
      <c r="C537" s="6">
        <v>133289.78</v>
      </c>
      <c r="D537" s="7" t="str">
        <f>HYPERLINK("http://www.usrc.it/AppRendiConta/det_569_20161004.pdf","Determina nr. 569 del 04/10/2016")</f>
        <v>Determina nr. 569 del 04/10/2016</v>
      </c>
      <c r="E537" s="5" t="s">
        <v>750</v>
      </c>
      <c r="F537" s="8" t="s">
        <v>12</v>
      </c>
      <c r="G537" s="8" t="s">
        <v>85</v>
      </c>
      <c r="H537" s="9"/>
      <c r="I537" s="9"/>
      <c r="J537" s="9"/>
      <c r="K537" s="9"/>
      <c r="L537" s="9"/>
      <c r="M537" s="9"/>
      <c r="N537" s="9"/>
      <c r="O537" s="9"/>
      <c r="P537" s="9"/>
    </row>
    <row r="538" ht="30.0" customHeight="1">
      <c r="A538" s="4" t="s">
        <v>195</v>
      </c>
      <c r="B538" s="5" t="s">
        <v>196</v>
      </c>
      <c r="C538" s="6">
        <v>229315.03</v>
      </c>
      <c r="D538" s="7" t="str">
        <f>HYPERLINK("http://www.usrc.it/AppRendiConta/det_570_20161004.pdf","Determina nr. 570 del 04/10/2016")</f>
        <v>Determina nr. 570 del 04/10/2016</v>
      </c>
      <c r="E538" s="5" t="s">
        <v>751</v>
      </c>
      <c r="F538" s="8" t="s">
        <v>12</v>
      </c>
      <c r="G538" s="8" t="s">
        <v>678</v>
      </c>
      <c r="H538" s="9"/>
      <c r="I538" s="9"/>
      <c r="J538" s="9"/>
      <c r="K538" s="9"/>
      <c r="L538" s="9"/>
      <c r="M538" s="9"/>
      <c r="N538" s="9"/>
      <c r="O538" s="9"/>
      <c r="P538" s="9"/>
    </row>
    <row r="539" ht="30.0" customHeight="1">
      <c r="A539" s="4" t="s">
        <v>53</v>
      </c>
      <c r="B539" s="5" t="s">
        <v>54</v>
      </c>
      <c r="C539" s="6">
        <v>502938.71</v>
      </c>
      <c r="D539" s="7" t="str">
        <f>HYPERLINK("http://www.usrc.it/AppRendiConta/det_571_20161004.pdf","Determina nr. 571 del 04/10/2016")</f>
        <v>Determina nr. 571 del 04/10/2016</v>
      </c>
      <c r="E539" s="5" t="s">
        <v>752</v>
      </c>
      <c r="F539" s="8" t="s">
        <v>12</v>
      </c>
      <c r="G539" s="8" t="s">
        <v>678</v>
      </c>
      <c r="H539" s="9"/>
      <c r="I539" s="9"/>
      <c r="J539" s="9"/>
      <c r="K539" s="9"/>
      <c r="L539" s="9"/>
      <c r="M539" s="9"/>
      <c r="N539" s="9"/>
      <c r="O539" s="9"/>
      <c r="P539" s="9"/>
    </row>
    <row r="540" ht="30.0" customHeight="1">
      <c r="A540" s="4" t="s">
        <v>104</v>
      </c>
      <c r="B540" s="5" t="s">
        <v>105</v>
      </c>
      <c r="C540" s="6">
        <v>684279.91</v>
      </c>
      <c r="D540" s="7" t="str">
        <f>HYPERLINK("http://www.usrc.it/AppRendiConta/det_572_20161005.pdf","Determina nr. 572 del 05/10/2016")</f>
        <v>Determina nr. 572 del 05/10/2016</v>
      </c>
      <c r="E540" s="5" t="s">
        <v>753</v>
      </c>
      <c r="F540" s="8" t="s">
        <v>12</v>
      </c>
      <c r="G540" s="8" t="s">
        <v>529</v>
      </c>
      <c r="H540" s="9"/>
      <c r="I540" s="9"/>
      <c r="J540" s="9"/>
      <c r="K540" s="9"/>
      <c r="L540" s="9"/>
      <c r="M540" s="9"/>
      <c r="N540" s="9"/>
      <c r="O540" s="9"/>
      <c r="P540" s="9"/>
    </row>
    <row r="541" ht="30.0" customHeight="1">
      <c r="A541" s="4" t="s">
        <v>107</v>
      </c>
      <c r="B541" s="5" t="s">
        <v>108</v>
      </c>
      <c r="C541" s="6">
        <v>41022.24</v>
      </c>
      <c r="D541" s="7" t="str">
        <f>HYPERLINK("http://www.usrc.it/AppRendiConta/det_574_20161005.pdf","Determina nr. 574 del 05/10/2016")</f>
        <v>Determina nr. 574 del 05/10/2016</v>
      </c>
      <c r="E541" s="5" t="s">
        <v>754</v>
      </c>
      <c r="F541" s="8" t="s">
        <v>12</v>
      </c>
      <c r="G541" s="8" t="s">
        <v>67</v>
      </c>
      <c r="H541" s="9"/>
      <c r="I541" s="9"/>
      <c r="J541" s="9"/>
      <c r="K541" s="9"/>
      <c r="L541" s="9"/>
      <c r="M541" s="9"/>
      <c r="N541" s="9"/>
      <c r="O541" s="9"/>
      <c r="P541" s="9"/>
    </row>
    <row r="542" ht="30.0" customHeight="1">
      <c r="A542" s="4" t="s">
        <v>23</v>
      </c>
      <c r="B542" s="5" t="s">
        <v>24</v>
      </c>
      <c r="C542" s="6">
        <v>106391.53</v>
      </c>
      <c r="D542" s="7" t="str">
        <f>HYPERLINK("http://www.usrc.it/AppRendiConta/det_575_20161005.pdf","Determina nr. 575 del 05/10/2016")</f>
        <v>Determina nr. 575 del 05/10/2016</v>
      </c>
      <c r="E542" s="5" t="s">
        <v>755</v>
      </c>
      <c r="F542" s="8" t="s">
        <v>12</v>
      </c>
      <c r="G542" s="8" t="s">
        <v>67</v>
      </c>
      <c r="H542" s="9"/>
      <c r="I542" s="9"/>
      <c r="J542" s="9"/>
      <c r="K542" s="9"/>
      <c r="L542" s="9"/>
      <c r="M542" s="9"/>
      <c r="N542" s="9"/>
      <c r="O542" s="9"/>
      <c r="P542" s="9"/>
    </row>
    <row r="543" ht="30.0" customHeight="1">
      <c r="A543" s="4" t="s">
        <v>241</v>
      </c>
      <c r="B543" s="5" t="s">
        <v>242</v>
      </c>
      <c r="C543" s="6">
        <v>338400.0</v>
      </c>
      <c r="D543" s="7" t="str">
        <f>HYPERLINK("http://www.usrc.it/AppRendiConta/det_576_20161005.pdf","Determina nr. 576 del 05/10/2016")</f>
        <v>Determina nr. 576 del 05/10/2016</v>
      </c>
      <c r="E543" s="5" t="s">
        <v>756</v>
      </c>
      <c r="F543" s="8" t="s">
        <v>12</v>
      </c>
      <c r="G543" s="8" t="s">
        <v>67</v>
      </c>
      <c r="H543" s="9"/>
      <c r="I543" s="9"/>
      <c r="J543" s="9"/>
      <c r="K543" s="9"/>
      <c r="L543" s="9"/>
      <c r="M543" s="9"/>
      <c r="N543" s="9"/>
      <c r="O543" s="9"/>
      <c r="P543" s="9"/>
    </row>
    <row r="544" ht="30.0" customHeight="1">
      <c r="A544" s="4" t="s">
        <v>235</v>
      </c>
      <c r="B544" s="5" t="s">
        <v>236</v>
      </c>
      <c r="C544" s="6">
        <v>39353.5</v>
      </c>
      <c r="D544" s="7" t="str">
        <f>HYPERLINK("http://www.usrc.it/AppRendiConta/det_577_20161005.pdf","Determina nr. 577 del 05/10/2016")</f>
        <v>Determina nr. 577 del 05/10/2016</v>
      </c>
      <c r="E544" s="5" t="s">
        <v>757</v>
      </c>
      <c r="F544" s="8" t="s">
        <v>12</v>
      </c>
      <c r="G544" s="8" t="s">
        <v>67</v>
      </c>
      <c r="H544" s="9"/>
      <c r="I544" s="9"/>
      <c r="J544" s="9"/>
      <c r="K544" s="9"/>
      <c r="L544" s="9"/>
      <c r="M544" s="9"/>
      <c r="N544" s="9"/>
      <c r="O544" s="9"/>
      <c r="P544" s="9"/>
    </row>
    <row r="545" ht="30.0" customHeight="1">
      <c r="A545" s="4" t="s">
        <v>304</v>
      </c>
      <c r="B545" s="5" t="s">
        <v>305</v>
      </c>
      <c r="C545" s="6">
        <v>1617270.87</v>
      </c>
      <c r="D545" s="15" t="str">
        <f>HYPERLINK("http://www.usrc.it/AppRendiConta/det_588_20161014.pdf","Determina nr. 588 del 14/10/2016")</f>
        <v>Determina nr. 588 del 14/10/2016</v>
      </c>
      <c r="E545" s="5" t="s">
        <v>758</v>
      </c>
      <c r="F545" s="8" t="s">
        <v>12</v>
      </c>
      <c r="G545" s="8" t="s">
        <v>685</v>
      </c>
      <c r="H545" s="9"/>
      <c r="I545" s="9"/>
      <c r="J545" s="9"/>
      <c r="K545" s="9"/>
      <c r="L545" s="9"/>
      <c r="M545" s="9"/>
      <c r="N545" s="9"/>
      <c r="O545" s="9"/>
      <c r="P545" s="9"/>
    </row>
    <row r="546" ht="30.0" customHeight="1">
      <c r="A546" s="4" t="s">
        <v>216</v>
      </c>
      <c r="B546" s="5" t="s">
        <v>217</v>
      </c>
      <c r="C546" s="6">
        <v>57652.9</v>
      </c>
      <c r="D546" s="7" t="str">
        <f>HYPERLINK("http://www.usrc.it/AppRendiConta/det_590_20161014.pdf","Determina nr.590 del 14/10/2016")</f>
        <v>Determina nr.590 del 14/10/2016</v>
      </c>
      <c r="E546" s="5" t="s">
        <v>759</v>
      </c>
      <c r="F546" s="8" t="s">
        <v>12</v>
      </c>
      <c r="G546" s="8" t="s">
        <v>67</v>
      </c>
      <c r="H546" s="9"/>
      <c r="I546" s="9"/>
      <c r="J546" s="9"/>
      <c r="K546" s="9"/>
      <c r="L546" s="9"/>
      <c r="M546" s="9"/>
      <c r="N546" s="9"/>
      <c r="O546" s="9"/>
      <c r="P546" s="9"/>
    </row>
    <row r="547" ht="30.0" customHeight="1">
      <c r="A547" s="4" t="s">
        <v>131</v>
      </c>
      <c r="B547" s="5" t="s">
        <v>132</v>
      </c>
      <c r="C547" s="6">
        <v>165735.94</v>
      </c>
      <c r="D547" s="7" t="str">
        <f>HYPERLINK("http://www.usrc.it/AppRendiConta/det_592_20161018.pdf","Determina nr.592 del 18/10/2016")</f>
        <v>Determina nr.592 del 18/10/2016</v>
      </c>
      <c r="E547" s="5" t="s">
        <v>760</v>
      </c>
      <c r="F547" s="8" t="s">
        <v>12</v>
      </c>
      <c r="G547" s="8" t="s">
        <v>67</v>
      </c>
      <c r="H547" s="9"/>
      <c r="I547" s="9"/>
      <c r="J547" s="9"/>
      <c r="K547" s="9"/>
      <c r="L547" s="9"/>
      <c r="M547" s="9"/>
      <c r="N547" s="9"/>
      <c r="O547" s="9"/>
      <c r="P547" s="9"/>
    </row>
    <row r="548" ht="30.0" customHeight="1">
      <c r="A548" s="4" t="s">
        <v>761</v>
      </c>
      <c r="B548" s="14" t="s">
        <v>762</v>
      </c>
      <c r="C548" s="6">
        <v>466684.24</v>
      </c>
      <c r="D548" s="7" t="str">
        <f>HYPERLINK("http://www.usrc.it/AppRendiConta/det_596_20161020.pdf","Determina nr.596 del 20/10/2016")</f>
        <v>Determina nr.596 del 20/10/2016</v>
      </c>
      <c r="E548" s="5" t="s">
        <v>763</v>
      </c>
      <c r="F548" s="8" t="s">
        <v>12</v>
      </c>
      <c r="G548" s="8" t="s">
        <v>529</v>
      </c>
      <c r="H548" s="9"/>
      <c r="I548" s="9"/>
      <c r="J548" s="9"/>
      <c r="K548" s="9"/>
      <c r="L548" s="9"/>
      <c r="M548" s="9"/>
      <c r="N548" s="9"/>
      <c r="O548" s="9"/>
      <c r="P548" s="9"/>
    </row>
    <row r="549" ht="30.0" customHeight="1">
      <c r="A549" s="4" t="s">
        <v>59</v>
      </c>
      <c r="B549" s="5" t="s">
        <v>60</v>
      </c>
      <c r="C549" s="6">
        <v>379617.07</v>
      </c>
      <c r="D549" s="7" t="str">
        <f>HYPERLINK("http://www.usrc.it/AppRendiConta/det_599_20161020.pdf","Determina nr.599 del 20/10/2016")</f>
        <v>Determina nr.599 del 20/10/2016</v>
      </c>
      <c r="E549" s="5" t="s">
        <v>764</v>
      </c>
      <c r="F549" s="8" t="s">
        <v>12</v>
      </c>
      <c r="G549" s="8" t="s">
        <v>85</v>
      </c>
      <c r="H549" s="9"/>
      <c r="I549" s="9"/>
      <c r="J549" s="9"/>
      <c r="K549" s="9"/>
      <c r="L549" s="9"/>
      <c r="M549" s="9"/>
      <c r="N549" s="9"/>
      <c r="O549" s="9"/>
      <c r="P549" s="9"/>
    </row>
    <row r="550" ht="30.0" customHeight="1">
      <c r="A550" s="4" t="s">
        <v>269</v>
      </c>
      <c r="B550" s="5" t="s">
        <v>270</v>
      </c>
      <c r="C550" s="6">
        <v>160000.0</v>
      </c>
      <c r="D550" s="7" t="str">
        <f>HYPERLINK("http://www.usrc.it/AppRendiConta/det_602_20161020.pdf","Determina nr.602 del 20/10/2016")</f>
        <v>Determina nr.602 del 20/10/2016</v>
      </c>
      <c r="E550" s="5" t="s">
        <v>765</v>
      </c>
      <c r="F550" s="8" t="s">
        <v>12</v>
      </c>
      <c r="G550" s="8" t="s">
        <v>67</v>
      </c>
      <c r="H550" s="9"/>
      <c r="I550" s="9"/>
      <c r="J550" s="9"/>
      <c r="K550" s="9"/>
      <c r="L550" s="9"/>
      <c r="M550" s="9"/>
      <c r="N550" s="9"/>
      <c r="O550" s="9"/>
      <c r="P550" s="9"/>
    </row>
    <row r="551" ht="30.0" customHeight="1">
      <c r="A551" s="4" t="s">
        <v>269</v>
      </c>
      <c r="B551" s="5" t="s">
        <v>270</v>
      </c>
      <c r="C551" s="6">
        <v>20000.0</v>
      </c>
      <c r="D551" s="7" t="str">
        <f>HYPERLINK("http://www.usrc.it/AppRendiConta/det_603_20161020.pdf","Determina nr.603 del 20/10/2016")</f>
        <v>Determina nr.603 del 20/10/2016</v>
      </c>
      <c r="E551" s="5" t="s">
        <v>766</v>
      </c>
      <c r="F551" s="8" t="s">
        <v>12</v>
      </c>
      <c r="G551" s="8" t="s">
        <v>67</v>
      </c>
      <c r="H551" s="9"/>
      <c r="I551" s="9"/>
      <c r="J551" s="9"/>
      <c r="K551" s="9"/>
      <c r="L551" s="9"/>
      <c r="M551" s="9"/>
      <c r="N551" s="9"/>
      <c r="O551" s="9"/>
      <c r="P551" s="9"/>
    </row>
    <row r="552" ht="30.0" customHeight="1">
      <c r="A552" s="4" t="s">
        <v>119</v>
      </c>
      <c r="B552" s="5" t="s">
        <v>120</v>
      </c>
      <c r="C552" s="6">
        <v>10386.06</v>
      </c>
      <c r="D552" s="7" t="str">
        <f>HYPERLINK("http://www.usrc.it/AppRendiConta/det_608_20161024.pdf","Determina nr.608 del 24/10/2016")</f>
        <v>Determina nr.608 del 24/10/2016</v>
      </c>
      <c r="E552" s="8" t="s">
        <v>767</v>
      </c>
      <c r="F552" s="8" t="s">
        <v>12</v>
      </c>
      <c r="G552" s="8" t="s">
        <v>62</v>
      </c>
      <c r="H552" s="9"/>
      <c r="I552" s="9"/>
      <c r="J552" s="9"/>
      <c r="K552" s="9"/>
      <c r="L552" s="9"/>
      <c r="M552" s="9"/>
      <c r="N552" s="9"/>
      <c r="O552" s="9"/>
      <c r="P552" s="9"/>
    </row>
    <row r="553" ht="30.0" customHeight="1">
      <c r="A553" s="4" t="s">
        <v>186</v>
      </c>
      <c r="B553" s="5" t="s">
        <v>187</v>
      </c>
      <c r="C553" s="6">
        <v>115347.66</v>
      </c>
      <c r="D553" s="7" t="str">
        <f>HYPERLINK("http://www.usrc.it/AppRendiConta/det_609_20161024.pdf","Determina nr.609 del 24/10/2016")</f>
        <v>Determina nr.609 del 24/10/2016</v>
      </c>
      <c r="E553" s="5" t="s">
        <v>768</v>
      </c>
      <c r="F553" s="8" t="s">
        <v>12</v>
      </c>
      <c r="G553" s="8" t="s">
        <v>62</v>
      </c>
      <c r="H553" s="9"/>
      <c r="I553" s="9"/>
      <c r="J553" s="9"/>
      <c r="K553" s="9"/>
      <c r="L553" s="9"/>
      <c r="M553" s="9"/>
      <c r="N553" s="9"/>
      <c r="O553" s="9"/>
      <c r="P553" s="9"/>
    </row>
    <row r="554" ht="30.0" customHeight="1">
      <c r="A554" s="4" t="s">
        <v>151</v>
      </c>
      <c r="B554" s="5" t="s">
        <v>152</v>
      </c>
      <c r="C554" s="6">
        <v>126842.05</v>
      </c>
      <c r="D554" s="7" t="str">
        <f>HYPERLINK("http://www.usrc.it/AppRendiConta/det_610_20161024.pdf","Determina nr.610 del 24/10/2016")</f>
        <v>Determina nr.610 del 24/10/2016</v>
      </c>
      <c r="E554" s="5" t="s">
        <v>769</v>
      </c>
      <c r="F554" s="8" t="s">
        <v>12</v>
      </c>
      <c r="G554" s="8" t="s">
        <v>67</v>
      </c>
      <c r="H554" s="9"/>
      <c r="I554" s="9"/>
      <c r="J554" s="9"/>
      <c r="K554" s="9"/>
      <c r="L554" s="9"/>
      <c r="M554" s="9"/>
      <c r="N554" s="9"/>
      <c r="O554" s="9"/>
      <c r="P554" s="9"/>
    </row>
    <row r="555" ht="30.0" customHeight="1">
      <c r="A555" s="4" t="s">
        <v>80</v>
      </c>
      <c r="B555" s="14" t="s">
        <v>81</v>
      </c>
      <c r="C555" s="6">
        <v>38090.48</v>
      </c>
      <c r="D555" s="7" t="str">
        <f>HYPERLINK("http://www.usrc.it/AppRendiConta/det_616_20161025.pdf","Determina nr.616 del 25/10/2016")</f>
        <v>Determina nr.616 del 25/10/2016</v>
      </c>
      <c r="E555" s="5" t="s">
        <v>770</v>
      </c>
      <c r="F555" s="8" t="s">
        <v>12</v>
      </c>
      <c r="G555" s="8" t="s">
        <v>529</v>
      </c>
      <c r="H555" s="9"/>
      <c r="I555" s="9"/>
      <c r="J555" s="9"/>
      <c r="K555" s="9"/>
      <c r="L555" s="9"/>
      <c r="M555" s="9"/>
      <c r="N555" s="9"/>
      <c r="O555" s="9"/>
      <c r="P555" s="9"/>
    </row>
    <row r="556" ht="30.0" customHeight="1">
      <c r="A556" s="4" t="s">
        <v>135</v>
      </c>
      <c r="B556" s="14" t="s">
        <v>136</v>
      </c>
      <c r="C556" s="6">
        <v>5600.0</v>
      </c>
      <c r="D556" s="7" t="str">
        <f t="shared" ref="D556:D568" si="44">HYPERLINK("http://www.usrc.it/AppRendiConta/det_617_20161025.pdf","Determina nr.617 del 25/10/2016")</f>
        <v>Determina nr.617 del 25/10/2016</v>
      </c>
      <c r="E556" s="5" t="s">
        <v>771</v>
      </c>
      <c r="F556" s="8" t="s">
        <v>12</v>
      </c>
      <c r="G556" s="8" t="s">
        <v>626</v>
      </c>
      <c r="H556" s="9"/>
      <c r="I556" s="9"/>
      <c r="J556" s="9"/>
      <c r="K556" s="9"/>
      <c r="L556" s="9"/>
      <c r="M556" s="9"/>
      <c r="N556" s="9"/>
      <c r="O556" s="9"/>
      <c r="P556" s="9"/>
    </row>
    <row r="557" ht="30.0" customHeight="1">
      <c r="A557" s="4" t="s">
        <v>139</v>
      </c>
      <c r="B557" s="14" t="s">
        <v>140</v>
      </c>
      <c r="C557" s="6">
        <v>13800.0</v>
      </c>
      <c r="D557" s="7" t="str">
        <f t="shared" si="44"/>
        <v>Determina nr.617 del 25/10/2016</v>
      </c>
      <c r="E557" s="5" t="s">
        <v>772</v>
      </c>
      <c r="F557" s="8" t="s">
        <v>12</v>
      </c>
      <c r="G557" s="8" t="s">
        <v>626</v>
      </c>
      <c r="H557" s="9"/>
      <c r="I557" s="9"/>
      <c r="J557" s="9"/>
      <c r="K557" s="9"/>
      <c r="L557" s="9"/>
      <c r="M557" s="9"/>
      <c r="N557" s="9"/>
      <c r="O557" s="9"/>
      <c r="P557" s="9"/>
    </row>
    <row r="558" ht="30.0" customHeight="1">
      <c r="A558" s="4" t="s">
        <v>209</v>
      </c>
      <c r="B558" s="5" t="s">
        <v>210</v>
      </c>
      <c r="C558" s="6">
        <v>3500.0</v>
      </c>
      <c r="D558" s="7" t="str">
        <f t="shared" si="44"/>
        <v>Determina nr.617 del 25/10/2016</v>
      </c>
      <c r="E558" s="5" t="s">
        <v>773</v>
      </c>
      <c r="F558" s="8" t="s">
        <v>12</v>
      </c>
      <c r="G558" s="8" t="s">
        <v>626</v>
      </c>
      <c r="H558" s="9"/>
      <c r="I558" s="9"/>
      <c r="J558" s="9"/>
      <c r="K558" s="9"/>
      <c r="L558" s="9"/>
      <c r="M558" s="9"/>
      <c r="N558" s="9"/>
      <c r="O558" s="9"/>
      <c r="P558" s="9"/>
    </row>
    <row r="559" ht="30.0" customHeight="1">
      <c r="A559" s="4" t="s">
        <v>142</v>
      </c>
      <c r="B559" s="5" t="s">
        <v>143</v>
      </c>
      <c r="C559" s="6">
        <v>19341.94</v>
      </c>
      <c r="D559" s="7" t="str">
        <f t="shared" si="44"/>
        <v>Determina nr.617 del 25/10/2016</v>
      </c>
      <c r="E559" s="5" t="s">
        <v>774</v>
      </c>
      <c r="F559" s="8" t="s">
        <v>12</v>
      </c>
      <c r="G559" s="8" t="s">
        <v>626</v>
      </c>
      <c r="H559" s="9"/>
      <c r="I559" s="9"/>
      <c r="J559" s="9"/>
      <c r="K559" s="9"/>
      <c r="L559" s="9"/>
      <c r="M559" s="9"/>
      <c r="N559" s="9"/>
      <c r="O559" s="9"/>
      <c r="P559" s="9"/>
    </row>
    <row r="560" ht="30.0" customHeight="1">
      <c r="A560" s="4" t="s">
        <v>26</v>
      </c>
      <c r="B560" s="5" t="s">
        <v>27</v>
      </c>
      <c r="C560" s="6">
        <v>25525.27</v>
      </c>
      <c r="D560" s="7" t="str">
        <f t="shared" si="44"/>
        <v>Determina nr.617 del 25/10/2016</v>
      </c>
      <c r="E560" s="5" t="s">
        <v>775</v>
      </c>
      <c r="F560" s="8" t="s">
        <v>12</v>
      </c>
      <c r="G560" s="8" t="s">
        <v>626</v>
      </c>
      <c r="H560" s="9"/>
      <c r="I560" s="9"/>
      <c r="J560" s="9"/>
      <c r="K560" s="9"/>
      <c r="L560" s="9"/>
      <c r="M560" s="9"/>
      <c r="N560" s="9"/>
      <c r="O560" s="9"/>
      <c r="P560" s="9"/>
    </row>
    <row r="561" ht="30.0" customHeight="1">
      <c r="A561" s="4" t="s">
        <v>89</v>
      </c>
      <c r="B561" s="5" t="s">
        <v>90</v>
      </c>
      <c r="C561" s="6">
        <v>25293.33</v>
      </c>
      <c r="D561" s="7" t="str">
        <f t="shared" si="44"/>
        <v>Determina nr.617 del 25/10/2016</v>
      </c>
      <c r="E561" s="5" t="s">
        <v>776</v>
      </c>
      <c r="F561" s="8" t="s">
        <v>12</v>
      </c>
      <c r="G561" s="8" t="s">
        <v>626</v>
      </c>
      <c r="H561" s="9"/>
      <c r="I561" s="9"/>
      <c r="J561" s="9"/>
      <c r="K561" s="9"/>
      <c r="L561" s="9"/>
      <c r="M561" s="9"/>
      <c r="N561" s="9"/>
      <c r="O561" s="9"/>
      <c r="P561" s="9"/>
    </row>
    <row r="562" ht="30.0" customHeight="1">
      <c r="A562" s="4" t="s">
        <v>148</v>
      </c>
      <c r="B562" s="5" t="s">
        <v>149</v>
      </c>
      <c r="C562" s="6">
        <v>3322.58</v>
      </c>
      <c r="D562" s="7" t="str">
        <f t="shared" si="44"/>
        <v>Determina nr.617 del 25/10/2016</v>
      </c>
      <c r="E562" s="5" t="s">
        <v>777</v>
      </c>
      <c r="F562" s="8" t="s">
        <v>12</v>
      </c>
      <c r="G562" s="8" t="s">
        <v>626</v>
      </c>
      <c r="H562" s="9"/>
      <c r="I562" s="9"/>
      <c r="J562" s="9"/>
      <c r="K562" s="9"/>
      <c r="L562" s="9"/>
      <c r="M562" s="9"/>
      <c r="N562" s="9"/>
      <c r="O562" s="9"/>
      <c r="P562" s="9"/>
    </row>
    <row r="563" ht="30.0" customHeight="1">
      <c r="A563" s="4" t="s">
        <v>151</v>
      </c>
      <c r="B563" s="5" t="s">
        <v>152</v>
      </c>
      <c r="C563" s="6">
        <v>20400.0</v>
      </c>
      <c r="D563" s="7" t="str">
        <f t="shared" si="44"/>
        <v>Determina nr.617 del 25/10/2016</v>
      </c>
      <c r="E563" s="5" t="s">
        <v>778</v>
      </c>
      <c r="F563" s="8" t="s">
        <v>12</v>
      </c>
      <c r="G563" s="8" t="s">
        <v>626</v>
      </c>
      <c r="H563" s="9"/>
      <c r="I563" s="9"/>
      <c r="J563" s="9"/>
      <c r="K563" s="9"/>
      <c r="L563" s="9"/>
      <c r="M563" s="9"/>
      <c r="N563" s="9"/>
      <c r="O563" s="9"/>
      <c r="P563" s="9"/>
    </row>
    <row r="564" ht="30.0" customHeight="1">
      <c r="A564" s="4" t="s">
        <v>154</v>
      </c>
      <c r="B564" s="5" t="s">
        <v>155</v>
      </c>
      <c r="C564" s="6">
        <v>37800.0</v>
      </c>
      <c r="D564" s="7" t="str">
        <f t="shared" si="44"/>
        <v>Determina nr.617 del 25/10/2016</v>
      </c>
      <c r="E564" s="5" t="s">
        <v>779</v>
      </c>
      <c r="F564" s="8" t="s">
        <v>12</v>
      </c>
      <c r="G564" s="8" t="s">
        <v>626</v>
      </c>
      <c r="H564" s="9"/>
      <c r="I564" s="9"/>
      <c r="J564" s="9"/>
      <c r="K564" s="9"/>
      <c r="L564" s="9"/>
      <c r="M564" s="9"/>
      <c r="N564" s="9"/>
      <c r="O564" s="9"/>
      <c r="P564" s="9"/>
    </row>
    <row r="565" ht="30.0" customHeight="1">
      <c r="A565" s="4" t="s">
        <v>34</v>
      </c>
      <c r="B565" s="8" t="s">
        <v>35</v>
      </c>
      <c r="C565" s="6">
        <v>1800.0</v>
      </c>
      <c r="D565" s="7" t="str">
        <f t="shared" si="44"/>
        <v>Determina nr.617 del 25/10/2016</v>
      </c>
      <c r="E565" s="5" t="s">
        <v>780</v>
      </c>
      <c r="F565" s="8" t="s">
        <v>12</v>
      </c>
      <c r="G565" s="8" t="s">
        <v>626</v>
      </c>
      <c r="H565" s="9"/>
      <c r="I565" s="9"/>
      <c r="J565" s="9"/>
      <c r="K565" s="9"/>
      <c r="L565" s="9"/>
      <c r="M565" s="9"/>
      <c r="N565" s="9"/>
      <c r="O565" s="9"/>
      <c r="P565" s="9"/>
    </row>
    <row r="566" ht="30.0" customHeight="1">
      <c r="A566" s="4" t="s">
        <v>310</v>
      </c>
      <c r="B566" s="8" t="s">
        <v>311</v>
      </c>
      <c r="C566" s="6">
        <v>57955.49</v>
      </c>
      <c r="D566" s="7" t="str">
        <f t="shared" si="44"/>
        <v>Determina nr.617 del 25/10/2016</v>
      </c>
      <c r="E566" s="5" t="s">
        <v>781</v>
      </c>
      <c r="F566" s="8" t="s">
        <v>12</v>
      </c>
      <c r="G566" s="8" t="s">
        <v>626</v>
      </c>
      <c r="H566" s="9"/>
      <c r="I566" s="9"/>
      <c r="J566" s="9"/>
      <c r="K566" s="9"/>
      <c r="L566" s="9"/>
      <c r="M566" s="9"/>
      <c r="N566" s="9"/>
      <c r="O566" s="9"/>
      <c r="P566" s="9"/>
    </row>
    <row r="567" ht="30.0" customHeight="1">
      <c r="A567" s="4" t="s">
        <v>158</v>
      </c>
      <c r="B567" s="5" t="s">
        <v>159</v>
      </c>
      <c r="C567" s="6">
        <v>17741.94</v>
      </c>
      <c r="D567" s="7" t="str">
        <f t="shared" si="44"/>
        <v>Determina nr.617 del 25/10/2016</v>
      </c>
      <c r="E567" s="5" t="s">
        <v>782</v>
      </c>
      <c r="F567" s="8" t="s">
        <v>12</v>
      </c>
      <c r="G567" s="8" t="s">
        <v>626</v>
      </c>
      <c r="H567" s="9"/>
      <c r="I567" s="9"/>
      <c r="J567" s="9"/>
      <c r="K567" s="9"/>
      <c r="L567" s="9"/>
      <c r="M567" s="9"/>
      <c r="N567" s="9"/>
      <c r="O567" s="9"/>
      <c r="P567" s="9"/>
    </row>
    <row r="568" ht="30.0" customHeight="1">
      <c r="A568" s="4" t="s">
        <v>161</v>
      </c>
      <c r="B568" s="5" t="s">
        <v>162</v>
      </c>
      <c r="C568" s="6">
        <v>13151.61</v>
      </c>
      <c r="D568" s="7" t="str">
        <f t="shared" si="44"/>
        <v>Determina nr.617 del 25/10/2016</v>
      </c>
      <c r="E568" s="5" t="s">
        <v>772</v>
      </c>
      <c r="F568" s="8" t="s">
        <v>12</v>
      </c>
      <c r="G568" s="8" t="s">
        <v>626</v>
      </c>
      <c r="H568" s="9"/>
      <c r="I568" s="9"/>
      <c r="J568" s="9"/>
      <c r="K568" s="9"/>
      <c r="L568" s="9"/>
      <c r="M568" s="9"/>
      <c r="N568" s="9"/>
      <c r="O568" s="9"/>
      <c r="P568" s="9"/>
    </row>
    <row r="569" ht="30.0" customHeight="1">
      <c r="A569" s="4" t="s">
        <v>165</v>
      </c>
      <c r="B569" s="14" t="s">
        <v>166</v>
      </c>
      <c r="C569" s="6">
        <v>6000.0</v>
      </c>
      <c r="D569" s="7" t="str">
        <f t="shared" ref="D569:D577" si="45">HYPERLINK("http://www.usrc.it/AppRendiConta/det_618_20161025.pdf","Determina nr.618 del 25/10/2016")</f>
        <v>Determina nr.618 del 25/10/2016</v>
      </c>
      <c r="E569" s="8" t="s">
        <v>783</v>
      </c>
      <c r="F569" s="8" t="s">
        <v>12</v>
      </c>
      <c r="G569" s="8" t="s">
        <v>626</v>
      </c>
      <c r="H569" s="9"/>
      <c r="I569" s="9"/>
      <c r="J569" s="9"/>
      <c r="K569" s="9"/>
      <c r="L569" s="9"/>
      <c r="M569" s="9"/>
      <c r="N569" s="9"/>
      <c r="O569" s="9"/>
      <c r="P569" s="9"/>
    </row>
    <row r="570" ht="30.0" customHeight="1">
      <c r="A570" s="4" t="s">
        <v>174</v>
      </c>
      <c r="B570" s="14" t="s">
        <v>175</v>
      </c>
      <c r="C570" s="6">
        <v>6800.0</v>
      </c>
      <c r="D570" s="7" t="str">
        <f t="shared" si="45"/>
        <v>Determina nr.618 del 25/10/2016</v>
      </c>
      <c r="E570" s="5" t="s">
        <v>784</v>
      </c>
      <c r="F570" s="8" t="s">
        <v>12</v>
      </c>
      <c r="G570" s="8" t="s">
        <v>626</v>
      </c>
      <c r="H570" s="9"/>
      <c r="I570" s="9"/>
      <c r="J570" s="9"/>
      <c r="K570" s="9"/>
      <c r="L570" s="9"/>
      <c r="M570" s="9"/>
      <c r="N570" s="9"/>
      <c r="O570" s="9"/>
      <c r="P570" s="9"/>
    </row>
    <row r="571" ht="30.0" customHeight="1">
      <c r="A571" s="4" t="s">
        <v>785</v>
      </c>
      <c r="B571" s="14" t="s">
        <v>786</v>
      </c>
      <c r="C571" s="6">
        <v>2988.81</v>
      </c>
      <c r="D571" s="7" t="str">
        <f t="shared" si="45"/>
        <v>Determina nr.618 del 25/10/2016</v>
      </c>
      <c r="E571" s="5" t="s">
        <v>787</v>
      </c>
      <c r="F571" s="8" t="s">
        <v>12</v>
      </c>
      <c r="G571" s="8" t="s">
        <v>626</v>
      </c>
      <c r="H571" s="9"/>
      <c r="I571" s="9"/>
      <c r="J571" s="9"/>
      <c r="K571" s="9"/>
      <c r="L571" s="9"/>
      <c r="M571" s="9"/>
      <c r="N571" s="9"/>
      <c r="O571" s="9"/>
      <c r="P571" s="9"/>
    </row>
    <row r="572" ht="30.0" customHeight="1">
      <c r="A572" s="4" t="s">
        <v>177</v>
      </c>
      <c r="B572" s="14" t="s">
        <v>178</v>
      </c>
      <c r="C572" s="6">
        <v>68026.65</v>
      </c>
      <c r="D572" s="7" t="str">
        <f t="shared" si="45"/>
        <v>Determina nr.618 del 25/10/2016</v>
      </c>
      <c r="E572" s="5" t="s">
        <v>788</v>
      </c>
      <c r="F572" s="8" t="s">
        <v>12</v>
      </c>
      <c r="G572" s="8" t="s">
        <v>626</v>
      </c>
      <c r="H572" s="9"/>
      <c r="I572" s="9"/>
      <c r="J572" s="9"/>
      <c r="K572" s="9"/>
      <c r="L572" s="9"/>
      <c r="M572" s="9"/>
      <c r="N572" s="9"/>
      <c r="O572" s="9"/>
      <c r="P572" s="9"/>
    </row>
    <row r="573" ht="30.0" customHeight="1">
      <c r="A573" s="4" t="s">
        <v>186</v>
      </c>
      <c r="B573" s="5" t="s">
        <v>187</v>
      </c>
      <c r="C573" s="6">
        <v>3300.0</v>
      </c>
      <c r="D573" s="7" t="str">
        <f t="shared" si="45"/>
        <v>Determina nr.618 del 25/10/2016</v>
      </c>
      <c r="E573" s="5" t="s">
        <v>789</v>
      </c>
      <c r="F573" s="8" t="s">
        <v>12</v>
      </c>
      <c r="G573" s="8" t="s">
        <v>626</v>
      </c>
      <c r="H573" s="9"/>
      <c r="I573" s="9"/>
      <c r="J573" s="9"/>
      <c r="K573" s="9"/>
      <c r="L573" s="9"/>
      <c r="M573" s="9"/>
      <c r="N573" s="9"/>
      <c r="O573" s="9"/>
      <c r="P573" s="9"/>
    </row>
    <row r="574" ht="30.0" customHeight="1">
      <c r="A574" s="4" t="s">
        <v>292</v>
      </c>
      <c r="B574" s="5" t="s">
        <v>293</v>
      </c>
      <c r="C574" s="6">
        <v>2870.97</v>
      </c>
      <c r="D574" s="7" t="str">
        <f t="shared" si="45"/>
        <v>Determina nr.618 del 25/10/2016</v>
      </c>
      <c r="E574" s="5" t="s">
        <v>790</v>
      </c>
      <c r="F574" s="8" t="s">
        <v>12</v>
      </c>
      <c r="G574" s="8" t="s">
        <v>626</v>
      </c>
      <c r="H574" s="9"/>
      <c r="I574" s="9"/>
      <c r="J574" s="9"/>
      <c r="K574" s="9"/>
      <c r="L574" s="9"/>
      <c r="M574" s="9"/>
      <c r="N574" s="9"/>
      <c r="O574" s="9"/>
      <c r="P574" s="9"/>
    </row>
    <row r="575" ht="30.0" customHeight="1">
      <c r="A575" s="4" t="s">
        <v>189</v>
      </c>
      <c r="B575" s="5" t="s">
        <v>190</v>
      </c>
      <c r="C575" s="6">
        <v>29700.0</v>
      </c>
      <c r="D575" s="7" t="str">
        <f t="shared" si="45"/>
        <v>Determina nr.618 del 25/10/2016</v>
      </c>
      <c r="E575" s="5" t="s">
        <v>791</v>
      </c>
      <c r="F575" s="8" t="s">
        <v>12</v>
      </c>
      <c r="G575" s="8" t="s">
        <v>626</v>
      </c>
      <c r="H575" s="9"/>
      <c r="I575" s="9"/>
      <c r="J575" s="9"/>
      <c r="K575" s="9"/>
      <c r="L575" s="9"/>
      <c r="M575" s="9"/>
      <c r="N575" s="9"/>
      <c r="O575" s="9"/>
      <c r="P575" s="9"/>
    </row>
    <row r="576" ht="30.0" customHeight="1">
      <c r="A576" s="4" t="s">
        <v>574</v>
      </c>
      <c r="B576" s="14" t="s">
        <v>575</v>
      </c>
      <c r="C576" s="6">
        <v>103480.65</v>
      </c>
      <c r="D576" s="7" t="str">
        <f t="shared" si="45"/>
        <v>Determina nr.618 del 25/10/2016</v>
      </c>
      <c r="E576" s="5" t="s">
        <v>792</v>
      </c>
      <c r="F576" s="8" t="s">
        <v>12</v>
      </c>
      <c r="G576" s="8" t="s">
        <v>626</v>
      </c>
      <c r="H576" s="9"/>
      <c r="I576" s="9"/>
      <c r="J576" s="9"/>
      <c r="K576" s="9"/>
      <c r="L576" s="9"/>
      <c r="M576" s="9"/>
      <c r="N576" s="9"/>
      <c r="O576" s="9"/>
      <c r="P576" s="9"/>
    </row>
    <row r="577" ht="30.0" customHeight="1">
      <c r="A577" s="4" t="s">
        <v>192</v>
      </c>
      <c r="B577" s="14" t="s">
        <v>193</v>
      </c>
      <c r="C577" s="6">
        <v>8400.0</v>
      </c>
      <c r="D577" s="7" t="str">
        <f t="shared" si="45"/>
        <v>Determina nr.618 del 25/10/2016</v>
      </c>
      <c r="E577" s="5" t="s">
        <v>783</v>
      </c>
      <c r="F577" s="8" t="s">
        <v>12</v>
      </c>
      <c r="G577" s="8" t="s">
        <v>626</v>
      </c>
      <c r="H577" s="9"/>
      <c r="I577" s="9"/>
      <c r="J577" s="9"/>
      <c r="K577" s="9"/>
      <c r="L577" s="9"/>
      <c r="M577" s="9"/>
      <c r="N577" s="9"/>
      <c r="O577" s="9"/>
      <c r="P577" s="9"/>
    </row>
    <row r="578" ht="30.0" customHeight="1">
      <c r="A578" s="4" t="s">
        <v>785</v>
      </c>
      <c r="B578" s="14" t="s">
        <v>786</v>
      </c>
      <c r="C578" s="6">
        <v>4932.27</v>
      </c>
      <c r="D578" s="7" t="str">
        <f t="shared" ref="D578:D579" si="46">HYPERLINK("http://www.usrc.it/AppRendiConta/det_619_20161025.pdf","Determina nr.619 del 25/10/2016")</f>
        <v>Determina nr.619 del 25/10/2016</v>
      </c>
      <c r="E578" s="5" t="s">
        <v>793</v>
      </c>
      <c r="F578" s="8" t="s">
        <v>12</v>
      </c>
      <c r="G578" s="8" t="s">
        <v>30</v>
      </c>
      <c r="H578" s="9"/>
      <c r="I578" s="9"/>
      <c r="J578" s="9"/>
      <c r="K578" s="9"/>
      <c r="L578" s="9"/>
      <c r="M578" s="9"/>
      <c r="N578" s="9"/>
      <c r="O578" s="9"/>
      <c r="P578" s="9"/>
    </row>
    <row r="579" ht="30.0" customHeight="1">
      <c r="A579" s="4" t="s">
        <v>189</v>
      </c>
      <c r="B579" s="14" t="s">
        <v>190</v>
      </c>
      <c r="C579" s="6">
        <v>8650.0</v>
      </c>
      <c r="D579" s="7" t="str">
        <f t="shared" si="46"/>
        <v>Determina nr.619 del 25/10/2016</v>
      </c>
      <c r="E579" s="5" t="s">
        <v>794</v>
      </c>
      <c r="F579" s="8" t="s">
        <v>12</v>
      </c>
      <c r="G579" s="8" t="s">
        <v>30</v>
      </c>
      <c r="H579" s="9"/>
      <c r="I579" s="9"/>
      <c r="J579" s="9"/>
      <c r="K579" s="9"/>
      <c r="L579" s="9"/>
      <c r="M579" s="9"/>
      <c r="N579" s="9"/>
      <c r="O579" s="9"/>
      <c r="P579" s="9"/>
    </row>
    <row r="580" ht="30.0" customHeight="1">
      <c r="A580" s="4" t="s">
        <v>189</v>
      </c>
      <c r="B580" s="14" t="s">
        <v>190</v>
      </c>
      <c r="C580" s="6">
        <v>5734.0</v>
      </c>
      <c r="D580" s="7" t="str">
        <f>HYPERLINK("http://www.usrc.it/AppRendiConta/det_620_20161025.pdf","Determina nr.620 del 25/10/2016")</f>
        <v>Determina nr.620 del 25/10/2016</v>
      </c>
      <c r="E580" s="5" t="s">
        <v>795</v>
      </c>
      <c r="F580" s="8" t="s">
        <v>12</v>
      </c>
      <c r="G580" s="5" t="s">
        <v>30</v>
      </c>
      <c r="H580" s="9"/>
      <c r="I580" s="9"/>
      <c r="J580" s="9"/>
      <c r="K580" s="9"/>
      <c r="L580" s="9"/>
      <c r="M580" s="9"/>
      <c r="N580" s="9"/>
      <c r="O580" s="9"/>
      <c r="P580" s="9"/>
    </row>
    <row r="581" ht="30.0" customHeight="1">
      <c r="A581" s="4" t="s">
        <v>89</v>
      </c>
      <c r="B581" s="5" t="s">
        <v>90</v>
      </c>
      <c r="C581" s="6">
        <v>8800.0</v>
      </c>
      <c r="D581" s="7" t="str">
        <f t="shared" ref="D581:D584" si="47">HYPERLINK("http://www.usrc.it/AppRendiConta/det_621_20161025.pdf","Determina nr.621 del 25/10/2016")</f>
        <v>Determina nr.621 del 25/10/2016</v>
      </c>
      <c r="E581" s="5" t="s">
        <v>796</v>
      </c>
      <c r="F581" s="8" t="s">
        <v>12</v>
      </c>
      <c r="G581" s="8" t="s">
        <v>30</v>
      </c>
      <c r="H581" s="9"/>
      <c r="I581" s="9"/>
      <c r="J581" s="9"/>
      <c r="K581" s="9"/>
      <c r="L581" s="9"/>
      <c r="M581" s="9"/>
      <c r="N581" s="9"/>
      <c r="O581" s="9"/>
      <c r="P581" s="9"/>
    </row>
    <row r="582" ht="30.0" customHeight="1">
      <c r="A582" s="4" t="s">
        <v>289</v>
      </c>
      <c r="B582" s="5" t="s">
        <v>290</v>
      </c>
      <c r="C582" s="6">
        <v>2400.0</v>
      </c>
      <c r="D582" s="7" t="str">
        <f t="shared" si="47"/>
        <v>Determina nr.621 del 25/10/2016</v>
      </c>
      <c r="E582" s="5" t="s">
        <v>797</v>
      </c>
      <c r="F582" s="8" t="s">
        <v>12</v>
      </c>
      <c r="G582" s="8" t="s">
        <v>30</v>
      </c>
      <c r="H582" s="9"/>
      <c r="I582" s="9"/>
      <c r="J582" s="9"/>
      <c r="K582" s="9"/>
      <c r="L582" s="9"/>
      <c r="M582" s="9"/>
      <c r="N582" s="9"/>
      <c r="O582" s="9"/>
      <c r="P582" s="9"/>
    </row>
    <row r="583" ht="30.0" customHeight="1">
      <c r="A583" s="4" t="s">
        <v>154</v>
      </c>
      <c r="B583" s="5" t="s">
        <v>155</v>
      </c>
      <c r="C583" s="6">
        <v>800.0</v>
      </c>
      <c r="D583" s="7" t="str">
        <f t="shared" si="47"/>
        <v>Determina nr.621 del 25/10/2016</v>
      </c>
      <c r="E583" s="5" t="s">
        <v>798</v>
      </c>
      <c r="F583" s="8" t="s">
        <v>12</v>
      </c>
      <c r="G583" s="8" t="s">
        <v>30</v>
      </c>
      <c r="H583" s="9"/>
      <c r="I583" s="9"/>
      <c r="J583" s="9"/>
      <c r="K583" s="9"/>
      <c r="L583" s="9"/>
      <c r="M583" s="9"/>
      <c r="N583" s="9"/>
      <c r="O583" s="9"/>
      <c r="P583" s="9"/>
    </row>
    <row r="584" ht="30.0" customHeight="1">
      <c r="A584" s="4" t="s">
        <v>235</v>
      </c>
      <c r="B584" s="5" t="s">
        <v>236</v>
      </c>
      <c r="C584" s="6">
        <v>1100.0</v>
      </c>
      <c r="D584" s="7" t="str">
        <f t="shared" si="47"/>
        <v>Determina nr.621 del 25/10/2016</v>
      </c>
      <c r="E584" s="5" t="s">
        <v>799</v>
      </c>
      <c r="F584" s="8" t="s">
        <v>12</v>
      </c>
      <c r="G584" s="8" t="s">
        <v>30</v>
      </c>
      <c r="H584" s="9"/>
      <c r="I584" s="9"/>
      <c r="J584" s="9"/>
      <c r="K584" s="9"/>
      <c r="L584" s="9"/>
      <c r="M584" s="9"/>
      <c r="N584" s="9"/>
      <c r="O584" s="9"/>
      <c r="P584" s="9"/>
    </row>
    <row r="585" ht="30.0" customHeight="1">
      <c r="A585" s="4" t="s">
        <v>377</v>
      </c>
      <c r="B585" s="5" t="s">
        <v>378</v>
      </c>
      <c r="C585" s="6">
        <v>3233.0</v>
      </c>
      <c r="D585" s="7" t="str">
        <f t="shared" ref="D585:D589" si="48">HYPERLINK("http://www.usrc.it/AppRendiConta/det_622_20161025.pdf","Determina nr.622 del 25/10/2016")</f>
        <v>Determina nr.622 del 25/10/2016</v>
      </c>
      <c r="E585" s="5" t="s">
        <v>800</v>
      </c>
      <c r="F585" s="8" t="s">
        <v>12</v>
      </c>
      <c r="G585" s="8" t="s">
        <v>30</v>
      </c>
      <c r="H585" s="9"/>
      <c r="I585" s="9"/>
      <c r="J585" s="9"/>
      <c r="K585" s="9"/>
      <c r="L585" s="9"/>
      <c r="M585" s="9"/>
      <c r="N585" s="9"/>
      <c r="O585" s="9"/>
      <c r="P585" s="9"/>
    </row>
    <row r="586" ht="30.0" customHeight="1">
      <c r="A586" s="4" t="s">
        <v>209</v>
      </c>
      <c r="B586" s="5" t="s">
        <v>210</v>
      </c>
      <c r="C586" s="6">
        <v>4272.0</v>
      </c>
      <c r="D586" s="7" t="str">
        <f t="shared" si="48"/>
        <v>Determina nr.622 del 25/10/2016</v>
      </c>
      <c r="E586" s="5" t="s">
        <v>801</v>
      </c>
      <c r="F586" s="8" t="s">
        <v>12</v>
      </c>
      <c r="G586" s="8" t="s">
        <v>30</v>
      </c>
      <c r="H586" s="9"/>
      <c r="I586" s="9"/>
      <c r="J586" s="9"/>
      <c r="K586" s="9"/>
      <c r="L586" s="9"/>
      <c r="M586" s="9"/>
      <c r="N586" s="9"/>
      <c r="O586" s="9"/>
      <c r="P586" s="9"/>
    </row>
    <row r="587" ht="30.0" customHeight="1">
      <c r="A587" s="4" t="s">
        <v>107</v>
      </c>
      <c r="B587" s="5" t="s">
        <v>108</v>
      </c>
      <c r="C587" s="6">
        <v>6850.0</v>
      </c>
      <c r="D587" s="7" t="str">
        <f t="shared" si="48"/>
        <v>Determina nr.622 del 25/10/2016</v>
      </c>
      <c r="E587" s="5" t="s">
        <v>589</v>
      </c>
      <c r="F587" s="8" t="s">
        <v>12</v>
      </c>
      <c r="G587" s="8" t="s">
        <v>30</v>
      </c>
      <c r="H587" s="9"/>
      <c r="I587" s="9"/>
      <c r="J587" s="9"/>
      <c r="K587" s="9"/>
      <c r="L587" s="9"/>
      <c r="M587" s="9"/>
      <c r="N587" s="9"/>
      <c r="O587" s="9"/>
      <c r="P587" s="9"/>
    </row>
    <row r="588" ht="30.0" customHeight="1">
      <c r="A588" s="4" t="s">
        <v>230</v>
      </c>
      <c r="B588" s="5" t="s">
        <v>231</v>
      </c>
      <c r="C588" s="6">
        <v>5542.0</v>
      </c>
      <c r="D588" s="7" t="str">
        <f t="shared" si="48"/>
        <v>Determina nr.622 del 25/10/2016</v>
      </c>
      <c r="E588" s="5" t="s">
        <v>800</v>
      </c>
      <c r="F588" s="8" t="s">
        <v>12</v>
      </c>
      <c r="G588" s="8" t="s">
        <v>30</v>
      </c>
      <c r="H588" s="9"/>
      <c r="I588" s="9"/>
      <c r="J588" s="9"/>
      <c r="K588" s="9"/>
      <c r="L588" s="9"/>
      <c r="M588" s="9"/>
      <c r="N588" s="9"/>
      <c r="O588" s="9"/>
      <c r="P588" s="9"/>
    </row>
    <row r="589" ht="30.0" customHeight="1">
      <c r="A589" s="4" t="s">
        <v>310</v>
      </c>
      <c r="B589" s="8" t="s">
        <v>311</v>
      </c>
      <c r="C589" s="6">
        <v>1464.0</v>
      </c>
      <c r="D589" s="7" t="str">
        <f t="shared" si="48"/>
        <v>Determina nr.622 del 25/10/2016</v>
      </c>
      <c r="E589" s="5" t="s">
        <v>802</v>
      </c>
      <c r="F589" s="8" t="s">
        <v>12</v>
      </c>
      <c r="G589" s="8" t="s">
        <v>30</v>
      </c>
      <c r="H589" s="9"/>
      <c r="I589" s="9"/>
      <c r="J589" s="9"/>
      <c r="K589" s="9"/>
      <c r="L589" s="9"/>
      <c r="M589" s="9"/>
      <c r="N589" s="9"/>
      <c r="O589" s="9"/>
      <c r="P589" s="9"/>
    </row>
    <row r="590" ht="30.0" customHeight="1">
      <c r="A590" s="4" t="s">
        <v>126</v>
      </c>
      <c r="B590" s="14" t="s">
        <v>127</v>
      </c>
      <c r="C590" s="6">
        <v>9000.0</v>
      </c>
      <c r="D590" s="7" t="str">
        <f t="shared" ref="D590:D598" si="49">HYPERLINK("http://www.usrc.it/AppRendiConta/det_623_20161025.pdf","Determina nr.623 del 25/10/2016")</f>
        <v>Determina nr.623 del 25/10/2016</v>
      </c>
      <c r="E590" s="5" t="s">
        <v>803</v>
      </c>
      <c r="F590" s="8" t="s">
        <v>12</v>
      </c>
      <c r="G590" s="8" t="s">
        <v>460</v>
      </c>
      <c r="H590" s="9"/>
      <c r="I590" s="9"/>
      <c r="J590" s="9"/>
      <c r="K590" s="9"/>
      <c r="L590" s="9"/>
      <c r="M590" s="9"/>
      <c r="N590" s="9"/>
      <c r="O590" s="9"/>
      <c r="P590" s="9"/>
    </row>
    <row r="591" ht="30.0" customHeight="1">
      <c r="A591" s="4" t="s">
        <v>209</v>
      </c>
      <c r="B591" s="14" t="s">
        <v>210</v>
      </c>
      <c r="C591" s="6">
        <v>5400.0</v>
      </c>
      <c r="D591" s="7" t="str">
        <f t="shared" si="49"/>
        <v>Determina nr.623 del 25/10/2016</v>
      </c>
      <c r="E591" s="5" t="s">
        <v>804</v>
      </c>
      <c r="F591" s="8" t="s">
        <v>12</v>
      </c>
      <c r="G591" s="8" t="s">
        <v>460</v>
      </c>
      <c r="H591" s="9"/>
      <c r="I591" s="9"/>
      <c r="J591" s="9"/>
      <c r="K591" s="9"/>
      <c r="L591" s="9"/>
      <c r="M591" s="9"/>
      <c r="N591" s="9"/>
      <c r="O591" s="9"/>
      <c r="P591" s="9"/>
    </row>
    <row r="592" ht="30.0" customHeight="1">
      <c r="A592" s="4" t="s">
        <v>142</v>
      </c>
      <c r="B592" s="5" t="s">
        <v>143</v>
      </c>
      <c r="C592" s="6">
        <v>9000.0</v>
      </c>
      <c r="D592" s="7" t="str">
        <f t="shared" si="49"/>
        <v>Determina nr.623 del 25/10/2016</v>
      </c>
      <c r="E592" s="5" t="s">
        <v>714</v>
      </c>
      <c r="F592" s="8" t="s">
        <v>12</v>
      </c>
      <c r="G592" s="8" t="s">
        <v>460</v>
      </c>
      <c r="H592" s="9"/>
      <c r="I592" s="9"/>
      <c r="J592" s="9"/>
      <c r="K592" s="9"/>
      <c r="L592" s="9"/>
      <c r="M592" s="9"/>
      <c r="N592" s="9"/>
      <c r="O592" s="9"/>
      <c r="P592" s="9"/>
    </row>
    <row r="593" ht="30.0" customHeight="1">
      <c r="A593" s="4" t="s">
        <v>211</v>
      </c>
      <c r="B593" s="5" t="s">
        <v>212</v>
      </c>
      <c r="C593" s="6">
        <v>9000.0</v>
      </c>
      <c r="D593" s="7" t="str">
        <f t="shared" si="49"/>
        <v>Determina nr.623 del 25/10/2016</v>
      </c>
      <c r="E593" s="5" t="s">
        <v>714</v>
      </c>
      <c r="F593" s="8" t="s">
        <v>12</v>
      </c>
      <c r="G593" s="8" t="s">
        <v>460</v>
      </c>
      <c r="H593" s="9"/>
      <c r="I593" s="9"/>
      <c r="J593" s="9"/>
      <c r="K593" s="9"/>
      <c r="L593" s="9"/>
      <c r="M593" s="9"/>
      <c r="N593" s="9"/>
      <c r="O593" s="9"/>
      <c r="P593" s="9"/>
    </row>
    <row r="594" ht="30.0" customHeight="1">
      <c r="A594" s="4" t="s">
        <v>216</v>
      </c>
      <c r="B594" s="5" t="s">
        <v>217</v>
      </c>
      <c r="C594" s="6">
        <v>9000.0</v>
      </c>
      <c r="D594" s="7" t="str">
        <f t="shared" si="49"/>
        <v>Determina nr.623 del 25/10/2016</v>
      </c>
      <c r="E594" s="5" t="s">
        <v>714</v>
      </c>
      <c r="F594" s="8" t="s">
        <v>12</v>
      </c>
      <c r="G594" s="8" t="s">
        <v>460</v>
      </c>
      <c r="H594" s="9"/>
      <c r="I594" s="9"/>
      <c r="J594" s="9"/>
      <c r="K594" s="9"/>
      <c r="L594" s="9"/>
      <c r="M594" s="9"/>
      <c r="N594" s="9"/>
      <c r="O594" s="9"/>
      <c r="P594" s="9"/>
    </row>
    <row r="595" ht="30.0" customHeight="1">
      <c r="A595" s="4" t="s">
        <v>151</v>
      </c>
      <c r="B595" s="5" t="s">
        <v>152</v>
      </c>
      <c r="C595" s="6">
        <v>6951.43</v>
      </c>
      <c r="D595" s="7" t="str">
        <f t="shared" si="49"/>
        <v>Determina nr.623 del 25/10/2016</v>
      </c>
      <c r="E595" s="5" t="s">
        <v>805</v>
      </c>
      <c r="F595" s="8" t="s">
        <v>12</v>
      </c>
      <c r="G595" s="8" t="s">
        <v>460</v>
      </c>
      <c r="H595" s="9"/>
      <c r="I595" s="9"/>
      <c r="J595" s="9"/>
      <c r="K595" s="9"/>
      <c r="L595" s="9"/>
      <c r="M595" s="9"/>
      <c r="N595" s="9"/>
      <c r="O595" s="9"/>
      <c r="P595" s="9"/>
    </row>
    <row r="596" ht="30.0" customHeight="1">
      <c r="A596" s="4" t="s">
        <v>154</v>
      </c>
      <c r="B596" s="5" t="s">
        <v>155</v>
      </c>
      <c r="C596" s="6">
        <v>1800.0</v>
      </c>
      <c r="D596" s="7" t="str">
        <f t="shared" si="49"/>
        <v>Determina nr.623 del 25/10/2016</v>
      </c>
      <c r="E596" s="5" t="s">
        <v>713</v>
      </c>
      <c r="F596" s="8" t="s">
        <v>12</v>
      </c>
      <c r="G596" s="8" t="s">
        <v>460</v>
      </c>
      <c r="H596" s="9"/>
      <c r="I596" s="9"/>
      <c r="J596" s="9"/>
      <c r="K596" s="9"/>
      <c r="L596" s="9"/>
      <c r="M596" s="9"/>
      <c r="N596" s="9"/>
      <c r="O596" s="9"/>
      <c r="P596" s="9"/>
    </row>
    <row r="597" ht="30.0" customHeight="1">
      <c r="A597" s="4" t="s">
        <v>59</v>
      </c>
      <c r="B597" s="5" t="s">
        <v>60</v>
      </c>
      <c r="C597" s="6">
        <v>9000.0</v>
      </c>
      <c r="D597" s="7" t="str">
        <f t="shared" si="49"/>
        <v>Determina nr.623 del 25/10/2016</v>
      </c>
      <c r="E597" s="8" t="s">
        <v>806</v>
      </c>
      <c r="F597" s="8" t="s">
        <v>12</v>
      </c>
      <c r="G597" s="8" t="s">
        <v>460</v>
      </c>
      <c r="H597" s="9"/>
      <c r="I597" s="9"/>
      <c r="J597" s="9"/>
      <c r="K597" s="9"/>
      <c r="L597" s="9"/>
      <c r="M597" s="9"/>
      <c r="N597" s="9"/>
      <c r="O597" s="9"/>
      <c r="P597" s="9"/>
    </row>
    <row r="598" ht="30.0" customHeight="1">
      <c r="A598" s="4" t="s">
        <v>508</v>
      </c>
      <c r="B598" s="5" t="s">
        <v>509</v>
      </c>
      <c r="C598" s="6">
        <v>9000.0</v>
      </c>
      <c r="D598" s="7" t="str">
        <f t="shared" si="49"/>
        <v>Determina nr.623 del 25/10/2016</v>
      </c>
      <c r="E598" s="8" t="s">
        <v>806</v>
      </c>
      <c r="F598" s="8" t="s">
        <v>12</v>
      </c>
      <c r="G598" s="8" t="s">
        <v>460</v>
      </c>
      <c r="H598" s="9"/>
      <c r="I598" s="9"/>
      <c r="J598" s="9"/>
      <c r="K598" s="9"/>
      <c r="L598" s="9"/>
      <c r="M598" s="9"/>
      <c r="N598" s="9"/>
      <c r="O598" s="9"/>
      <c r="P598" s="9"/>
    </row>
    <row r="599" ht="30.0" customHeight="1">
      <c r="A599" s="4" t="s">
        <v>151</v>
      </c>
      <c r="B599" s="5" t="s">
        <v>152</v>
      </c>
      <c r="C599" s="6">
        <v>10800.0</v>
      </c>
      <c r="D599" s="7" t="str">
        <f t="shared" ref="D599:D601" si="50">HYPERLINK("http://www.usrc.it/AppRendiConta/det_624_20161025.pdf","Determina nr.624 del 25/10/2016")</f>
        <v>Determina nr.624 del 25/10/2016</v>
      </c>
      <c r="E599" s="8" t="s">
        <v>207</v>
      </c>
      <c r="F599" s="8" t="s">
        <v>12</v>
      </c>
      <c r="G599" s="8" t="s">
        <v>648</v>
      </c>
      <c r="H599" s="9"/>
      <c r="I599" s="9"/>
      <c r="J599" s="9"/>
      <c r="K599" s="9"/>
      <c r="L599" s="9"/>
      <c r="M599" s="9"/>
      <c r="N599" s="9"/>
      <c r="O599" s="9"/>
      <c r="P599" s="9"/>
    </row>
    <row r="600" ht="30.0" customHeight="1">
      <c r="A600" s="4" t="s">
        <v>59</v>
      </c>
      <c r="B600" s="5" t="s">
        <v>60</v>
      </c>
      <c r="C600" s="6">
        <v>10774.5</v>
      </c>
      <c r="D600" s="7" t="str">
        <f t="shared" si="50"/>
        <v>Determina nr.624 del 25/10/2016</v>
      </c>
      <c r="E600" s="5" t="s">
        <v>716</v>
      </c>
      <c r="F600" s="8" t="s">
        <v>12</v>
      </c>
      <c r="G600" s="8" t="s">
        <v>648</v>
      </c>
      <c r="H600" s="9"/>
      <c r="I600" s="9"/>
      <c r="J600" s="9"/>
      <c r="K600" s="9"/>
      <c r="L600" s="9"/>
      <c r="M600" s="9"/>
      <c r="N600" s="9"/>
      <c r="O600" s="9"/>
      <c r="P600" s="9"/>
    </row>
    <row r="601" ht="30.0" customHeight="1">
      <c r="A601" s="4" t="s">
        <v>508</v>
      </c>
      <c r="B601" s="5" t="s">
        <v>509</v>
      </c>
      <c r="C601" s="6">
        <v>10799.95</v>
      </c>
      <c r="D601" s="7" t="str">
        <f t="shared" si="50"/>
        <v>Determina nr.624 del 25/10/2016</v>
      </c>
      <c r="E601" s="5" t="s">
        <v>716</v>
      </c>
      <c r="F601" s="8" t="s">
        <v>12</v>
      </c>
      <c r="G601" s="8" t="s">
        <v>648</v>
      </c>
      <c r="H601" s="9"/>
      <c r="I601" s="9"/>
      <c r="J601" s="9"/>
      <c r="K601" s="9"/>
      <c r="L601" s="9"/>
      <c r="M601" s="9"/>
      <c r="N601" s="9"/>
      <c r="O601" s="9"/>
      <c r="P601" s="9"/>
    </row>
    <row r="602" ht="30.0" customHeight="1">
      <c r="A602" s="4" t="s">
        <v>17</v>
      </c>
      <c r="B602" s="5" t="s">
        <v>18</v>
      </c>
      <c r="C602" s="6">
        <v>39600.0</v>
      </c>
      <c r="D602" s="7" t="str">
        <f t="shared" ref="D602:D605" si="51">HYPERLINK("http://www.usrc.it/AppRendiConta/det_625_20161025.pdf","Determina nr.625 del 25/10/2016")</f>
        <v>Determina nr.625 del 25/10/2016</v>
      </c>
      <c r="E602" s="5" t="s">
        <v>807</v>
      </c>
      <c r="F602" s="8" t="s">
        <v>12</v>
      </c>
      <c r="G602" s="8" t="s">
        <v>586</v>
      </c>
      <c r="H602" s="9"/>
      <c r="I602" s="9"/>
      <c r="J602" s="9"/>
      <c r="K602" s="9"/>
      <c r="L602" s="9"/>
      <c r="M602" s="9"/>
      <c r="N602" s="9"/>
      <c r="O602" s="9"/>
      <c r="P602" s="9"/>
    </row>
    <row r="603" ht="30.0" customHeight="1">
      <c r="A603" s="4" t="s">
        <v>209</v>
      </c>
      <c r="B603" s="5" t="s">
        <v>210</v>
      </c>
      <c r="C603" s="6">
        <v>7200.0</v>
      </c>
      <c r="D603" s="7" t="str">
        <f t="shared" si="51"/>
        <v>Determina nr.625 del 25/10/2016</v>
      </c>
      <c r="E603" s="5" t="s">
        <v>808</v>
      </c>
      <c r="F603" s="8" t="s">
        <v>12</v>
      </c>
      <c r="G603" s="8" t="s">
        <v>586</v>
      </c>
      <c r="H603" s="9"/>
      <c r="I603" s="9"/>
      <c r="J603" s="9"/>
      <c r="K603" s="9"/>
      <c r="L603" s="9"/>
      <c r="M603" s="9"/>
      <c r="N603" s="9"/>
      <c r="O603" s="9"/>
      <c r="P603" s="9"/>
    </row>
    <row r="604" ht="30.0" customHeight="1">
      <c r="A604" s="4" t="s">
        <v>89</v>
      </c>
      <c r="B604" s="5" t="s">
        <v>90</v>
      </c>
      <c r="C604" s="6">
        <v>27000.0</v>
      </c>
      <c r="D604" s="7" t="str">
        <f t="shared" si="51"/>
        <v>Determina nr.625 del 25/10/2016</v>
      </c>
      <c r="E604" s="5" t="s">
        <v>808</v>
      </c>
      <c r="F604" s="8" t="s">
        <v>12</v>
      </c>
      <c r="G604" s="8" t="s">
        <v>586</v>
      </c>
      <c r="H604" s="9"/>
      <c r="I604" s="9"/>
      <c r="J604" s="9"/>
      <c r="K604" s="9"/>
      <c r="L604" s="9"/>
      <c r="M604" s="9"/>
      <c r="N604" s="9"/>
      <c r="O604" s="9"/>
      <c r="P604" s="9"/>
    </row>
    <row r="605" ht="30.0" customHeight="1">
      <c r="A605" s="4" t="s">
        <v>148</v>
      </c>
      <c r="B605" s="5" t="s">
        <v>149</v>
      </c>
      <c r="C605" s="6">
        <v>5400.0</v>
      </c>
      <c r="D605" s="7" t="str">
        <f t="shared" si="51"/>
        <v>Determina nr.625 del 25/10/2016</v>
      </c>
      <c r="E605" s="8" t="s">
        <v>809</v>
      </c>
      <c r="F605" s="8" t="s">
        <v>12</v>
      </c>
      <c r="G605" s="8" t="s">
        <v>586</v>
      </c>
      <c r="H605" s="9"/>
      <c r="I605" s="9"/>
      <c r="J605" s="9"/>
      <c r="K605" s="9"/>
      <c r="L605" s="9"/>
      <c r="M605" s="9"/>
      <c r="N605" s="9"/>
      <c r="O605" s="9"/>
      <c r="P605" s="9"/>
    </row>
    <row r="606" ht="30.0" customHeight="1">
      <c r="A606" s="4" t="s">
        <v>46</v>
      </c>
      <c r="B606" s="5" t="s">
        <v>47</v>
      </c>
      <c r="C606" s="6">
        <v>108313.11</v>
      </c>
      <c r="D606" s="7" t="str">
        <f>HYPERLINK("http://www.usrc.it/AppRendiConta/det_628_20161027.pdf","Determina nr.628 del 27/10/2016")</f>
        <v>Determina nr.628 del 27/10/2016</v>
      </c>
      <c r="E606" s="8" t="s">
        <v>810</v>
      </c>
      <c r="F606" s="8" t="s">
        <v>12</v>
      </c>
      <c r="G606" s="8" t="s">
        <v>85</v>
      </c>
      <c r="H606" s="9"/>
      <c r="I606" s="9"/>
      <c r="J606" s="9"/>
      <c r="K606" s="9"/>
      <c r="L606" s="9"/>
      <c r="M606" s="9"/>
      <c r="N606" s="9"/>
      <c r="O606" s="9"/>
      <c r="P606" s="9"/>
    </row>
    <row r="607" ht="30.0" customHeight="1">
      <c r="A607" s="4" t="s">
        <v>811</v>
      </c>
      <c r="B607" s="5" t="s">
        <v>812</v>
      </c>
      <c r="C607" s="6">
        <v>199500.0</v>
      </c>
      <c r="D607" s="7" t="str">
        <f>HYPERLINK("http://www.usrc.it/AppRendiConta/det_630_20161027.pdf","Determina nr.630 del 27/10/2016")</f>
        <v>Determina nr.630 del 27/10/2016</v>
      </c>
      <c r="E607" s="8" t="s">
        <v>813</v>
      </c>
      <c r="F607" s="8" t="s">
        <v>12</v>
      </c>
      <c r="G607" s="8" t="s">
        <v>85</v>
      </c>
      <c r="H607" s="9"/>
      <c r="I607" s="9"/>
      <c r="J607" s="9"/>
      <c r="K607" s="9"/>
      <c r="L607" s="9"/>
      <c r="M607" s="9"/>
      <c r="N607" s="9"/>
      <c r="O607" s="9"/>
      <c r="P607" s="9"/>
    </row>
    <row r="608" ht="30.0" customHeight="1">
      <c r="A608" s="4" t="s">
        <v>31</v>
      </c>
      <c r="B608" s="5" t="s">
        <v>32</v>
      </c>
      <c r="C608" s="6">
        <v>118593.63</v>
      </c>
      <c r="D608" s="7" t="str">
        <f>HYPERLINK("http://www.usrc.it/AppRendiConta/det_631_20161028.pdf","Determina nr.631 del 28/10/2016")</f>
        <v>Determina nr.631 del 28/10/2016</v>
      </c>
      <c r="E608" s="8" t="s">
        <v>814</v>
      </c>
      <c r="F608" s="8" t="s">
        <v>12</v>
      </c>
      <c r="G608" s="8" t="s">
        <v>85</v>
      </c>
      <c r="H608" s="9"/>
      <c r="I608" s="9"/>
      <c r="J608" s="9"/>
      <c r="K608" s="9"/>
      <c r="L608" s="9"/>
      <c r="M608" s="9"/>
      <c r="N608" s="9"/>
      <c r="O608" s="9"/>
      <c r="P608" s="9"/>
    </row>
    <row r="609" ht="30.0" customHeight="1">
      <c r="A609" s="4" t="s">
        <v>46</v>
      </c>
      <c r="B609" s="5" t="s">
        <v>47</v>
      </c>
      <c r="C609" s="6">
        <v>1218366.84</v>
      </c>
      <c r="D609" s="7" t="str">
        <f>HYPERLINK("http://www.usrc.it/AppRendiConta/det_632_20161028.pdf","Determina nr.632 del 28/10/2016")</f>
        <v>Determina nr.632 del 28/10/2016</v>
      </c>
      <c r="E609" s="8" t="s">
        <v>815</v>
      </c>
      <c r="F609" s="8" t="s">
        <v>12</v>
      </c>
      <c r="G609" s="8" t="s">
        <v>85</v>
      </c>
      <c r="H609" s="9"/>
      <c r="I609" s="9"/>
      <c r="J609" s="9"/>
      <c r="K609" s="9"/>
      <c r="L609" s="9"/>
      <c r="M609" s="9"/>
      <c r="N609" s="9"/>
      <c r="O609" s="9"/>
      <c r="P609" s="9"/>
    </row>
    <row r="610" ht="30.0" customHeight="1">
      <c r="A610" s="4" t="s">
        <v>107</v>
      </c>
      <c r="B610" s="5" t="s">
        <v>108</v>
      </c>
      <c r="C610" s="6">
        <v>2978225.64</v>
      </c>
      <c r="D610" s="7" t="str">
        <f>HYPERLINK("http://www.usrc.it/AppRendiConta/det_634_20161103.pdf","Determina nr.634 del 03/11/2016")</f>
        <v>Determina nr.634 del 03/11/2016</v>
      </c>
      <c r="E610" s="8" t="s">
        <v>816</v>
      </c>
      <c r="F610" s="8" t="s">
        <v>12</v>
      </c>
      <c r="G610" s="8" t="s">
        <v>817</v>
      </c>
      <c r="H610" s="9"/>
      <c r="I610" s="9"/>
      <c r="J610" s="9"/>
      <c r="K610" s="9"/>
      <c r="L610" s="9"/>
      <c r="M610" s="9"/>
      <c r="N610" s="9"/>
      <c r="O610" s="9"/>
      <c r="P610" s="9"/>
    </row>
    <row r="611" ht="30.0" customHeight="1">
      <c r="A611" s="4" t="s">
        <v>59</v>
      </c>
      <c r="B611" s="5" t="s">
        <v>60</v>
      </c>
      <c r="C611" s="6">
        <v>36442.21</v>
      </c>
      <c r="D611" s="7" t="str">
        <f>HYPERLINK("http://www.usrc.it/AppRendiConta/det_636_20161107.pdf","Determina nr.636 del 07/11/2016")</f>
        <v>Determina nr.636 del 07/11/2016</v>
      </c>
      <c r="E611" s="8" t="s">
        <v>818</v>
      </c>
      <c r="F611" s="8" t="s">
        <v>12</v>
      </c>
      <c r="G611" s="8" t="s">
        <v>67</v>
      </c>
      <c r="H611" s="9"/>
      <c r="I611" s="9"/>
      <c r="J611" s="9"/>
      <c r="K611" s="9"/>
      <c r="L611" s="9"/>
      <c r="M611" s="9"/>
      <c r="N611" s="9"/>
      <c r="O611" s="9"/>
      <c r="P611" s="9"/>
    </row>
    <row r="612" ht="30.0" customHeight="1">
      <c r="A612" s="4" t="s">
        <v>222</v>
      </c>
      <c r="B612" s="5" t="s">
        <v>223</v>
      </c>
      <c r="C612" s="6">
        <v>256080.11</v>
      </c>
      <c r="D612" s="7" t="str">
        <f>HYPERLINK("http://www.usrc.it/AppRendiConta/det_637_20161107.pdf","Determina nr.637 del 07/11/2016")</f>
        <v>Determina nr.637 del 07/11/2016</v>
      </c>
      <c r="E612" s="8" t="s">
        <v>819</v>
      </c>
      <c r="F612" s="8" t="s">
        <v>12</v>
      </c>
      <c r="G612" s="8" t="s">
        <v>67</v>
      </c>
      <c r="H612" s="9"/>
      <c r="I612" s="9"/>
      <c r="J612" s="9"/>
      <c r="K612" s="9"/>
      <c r="L612" s="9"/>
      <c r="M612" s="9"/>
      <c r="N612" s="9"/>
      <c r="O612" s="9"/>
      <c r="P612" s="9"/>
    </row>
    <row r="613" ht="30.0" customHeight="1">
      <c r="A613" s="4" t="s">
        <v>131</v>
      </c>
      <c r="B613" s="5" t="s">
        <v>132</v>
      </c>
      <c r="C613" s="6">
        <v>9576.44</v>
      </c>
      <c r="D613" s="7" t="str">
        <f>HYPERLINK("http://www.usrc.it/AppRendiConta/det_639_20161107.pdf","Determina nr.639 del 07/11/2016")</f>
        <v>Determina nr.639 del 07/11/2016</v>
      </c>
      <c r="E613" s="8" t="s">
        <v>820</v>
      </c>
      <c r="F613" s="8" t="s">
        <v>12</v>
      </c>
      <c r="G613" s="8" t="s">
        <v>67</v>
      </c>
      <c r="H613" s="9"/>
      <c r="I613" s="9"/>
      <c r="J613" s="9"/>
      <c r="K613" s="9"/>
      <c r="L613" s="9"/>
      <c r="M613" s="9"/>
      <c r="N613" s="9"/>
      <c r="O613" s="9"/>
      <c r="P613" s="9"/>
    </row>
    <row r="614" ht="30.0" customHeight="1">
      <c r="A614" s="4" t="s">
        <v>216</v>
      </c>
      <c r="B614" s="5" t="s">
        <v>217</v>
      </c>
      <c r="C614" s="6">
        <v>539505.72</v>
      </c>
      <c r="D614" s="7" t="str">
        <f>HYPERLINK("http://www.usrc.it/AppRendiConta/det_642_20161109.pdf","Determina nr.642 del 09/11/2016")</f>
        <v>Determina nr.642 del 09/11/2016</v>
      </c>
      <c r="E614" s="8" t="s">
        <v>360</v>
      </c>
      <c r="F614" s="8" t="s">
        <v>12</v>
      </c>
      <c r="G614" s="8" t="s">
        <v>613</v>
      </c>
      <c r="H614" s="9"/>
      <c r="I614" s="9"/>
      <c r="J614" s="9"/>
      <c r="K614" s="9"/>
      <c r="L614" s="9"/>
      <c r="M614" s="9"/>
      <c r="N614" s="9"/>
      <c r="O614" s="9"/>
      <c r="P614" s="9"/>
    </row>
    <row r="615" ht="30.0" customHeight="1">
      <c r="A615" s="4" t="s">
        <v>131</v>
      </c>
      <c r="B615" s="5" t="s">
        <v>132</v>
      </c>
      <c r="C615" s="6">
        <v>2421209.66</v>
      </c>
      <c r="D615" s="7" t="str">
        <f>HYPERLINK("http://www.usrc.it/AppRendiConta/det_643_20161109.pdf","Determina nr.643 del 09/11/2016")</f>
        <v>Determina nr.643 del 09/11/2016</v>
      </c>
      <c r="E615" s="8" t="s">
        <v>821</v>
      </c>
      <c r="F615" s="8" t="s">
        <v>12</v>
      </c>
      <c r="G615" s="8" t="s">
        <v>817</v>
      </c>
      <c r="H615" s="9"/>
      <c r="I615" s="9"/>
      <c r="J615" s="9"/>
      <c r="K615" s="9"/>
      <c r="L615" s="9"/>
      <c r="M615" s="9"/>
      <c r="N615" s="9"/>
      <c r="O615" s="9"/>
      <c r="P615" s="9"/>
    </row>
    <row r="616" ht="30.0" customHeight="1">
      <c r="A616" s="4" t="s">
        <v>226</v>
      </c>
      <c r="B616" s="5" t="s">
        <v>227</v>
      </c>
      <c r="C616" s="6">
        <v>99525.95</v>
      </c>
      <c r="D616" s="7" t="str">
        <f>HYPERLINK("http://www.usrc.it/AppRendiConta/det_646_20161109.pdf","Determina nr.646 del 09/11/2016")</f>
        <v>Determina nr.646 del 09/11/2016</v>
      </c>
      <c r="E616" s="8" t="s">
        <v>822</v>
      </c>
      <c r="F616" s="8" t="s">
        <v>12</v>
      </c>
      <c r="G616" s="8" t="s">
        <v>67</v>
      </c>
      <c r="H616" s="9"/>
      <c r="I616" s="9"/>
      <c r="J616" s="9"/>
      <c r="K616" s="9"/>
      <c r="L616" s="9"/>
      <c r="M616" s="9"/>
      <c r="N616" s="9"/>
      <c r="O616" s="9"/>
      <c r="P616" s="9"/>
    </row>
    <row r="617" ht="30.0" customHeight="1">
      <c r="A617" s="4" t="s">
        <v>34</v>
      </c>
      <c r="B617" s="8" t="s">
        <v>35</v>
      </c>
      <c r="C617" s="6">
        <v>3600.0</v>
      </c>
      <c r="D617" s="7" t="str">
        <f>HYPERLINK("http://www.usrc.it/AppRendiConta/det_648_20161109.pdf","Determina nr.648 del 09/11/2016")</f>
        <v>Determina nr.648 del 09/11/2016</v>
      </c>
      <c r="E617" s="5" t="s">
        <v>823</v>
      </c>
      <c r="F617" s="8" t="s">
        <v>12</v>
      </c>
      <c r="G617" s="8" t="s">
        <v>85</v>
      </c>
      <c r="H617" s="9"/>
      <c r="I617" s="9"/>
      <c r="J617" s="9"/>
      <c r="K617" s="9"/>
      <c r="L617" s="9"/>
      <c r="M617" s="9"/>
      <c r="N617" s="9"/>
      <c r="O617" s="9"/>
      <c r="P617" s="9"/>
    </row>
    <row r="618" ht="30.0" customHeight="1">
      <c r="A618" s="4" t="s">
        <v>49</v>
      </c>
      <c r="B618" s="8" t="s">
        <v>50</v>
      </c>
      <c r="C618" s="6">
        <v>457973.04</v>
      </c>
      <c r="D618" s="7" t="str">
        <f>HYPERLINK("http://www.usrc.it/AppRendiConta/det_652_20161111.pdf","Determina nr.652 del 11/11/2016")</f>
        <v>Determina nr.652 del 11/11/2016</v>
      </c>
      <c r="E618" s="5" t="s">
        <v>824</v>
      </c>
      <c r="F618" s="8" t="s">
        <v>12</v>
      </c>
      <c r="G618" s="8" t="s">
        <v>85</v>
      </c>
      <c r="H618" s="9"/>
      <c r="I618" s="9"/>
      <c r="J618" s="9"/>
      <c r="K618" s="9"/>
      <c r="L618" s="9"/>
      <c r="M618" s="9"/>
      <c r="N618" s="9"/>
      <c r="O618" s="9"/>
      <c r="P618" s="9"/>
    </row>
    <row r="619" ht="30.0" customHeight="1">
      <c r="A619" s="4" t="s">
        <v>89</v>
      </c>
      <c r="B619" s="8" t="s">
        <v>90</v>
      </c>
      <c r="C619" s="6">
        <v>2159874.12</v>
      </c>
      <c r="D619" s="7" t="str">
        <f>HYPERLINK("http://www.usrc.it/AppRendiConta/det_653_20161116.pdf","Determina nr.653 del 16/11/2016")</f>
        <v>Determina nr.653 del 16/11/2016</v>
      </c>
      <c r="E619" s="5" t="s">
        <v>825</v>
      </c>
      <c r="F619" s="8" t="s">
        <v>12</v>
      </c>
      <c r="G619" s="8" t="s">
        <v>613</v>
      </c>
      <c r="H619" s="9"/>
      <c r="I619" s="9"/>
      <c r="J619" s="9"/>
      <c r="K619" s="9"/>
      <c r="L619" s="9"/>
      <c r="M619" s="9"/>
      <c r="N619" s="9"/>
      <c r="O619" s="9"/>
      <c r="P619" s="9"/>
    </row>
    <row r="620" ht="30.0" customHeight="1">
      <c r="A620" s="4" t="s">
        <v>37</v>
      </c>
      <c r="B620" s="8" t="s">
        <v>38</v>
      </c>
      <c r="C620" s="6">
        <v>4180175.84</v>
      </c>
      <c r="D620" s="7" t="str">
        <f>HYPERLINK("http://www.usrc.it/AppRendiConta/det_654_20161116.pdf","Determina nr.654 del 16/11/2016")</f>
        <v>Determina nr.654 del 16/11/2016</v>
      </c>
      <c r="E620" s="5" t="s">
        <v>826</v>
      </c>
      <c r="F620" s="8" t="s">
        <v>12</v>
      </c>
      <c r="G620" s="8" t="s">
        <v>613</v>
      </c>
      <c r="H620" s="9"/>
      <c r="I620" s="9"/>
      <c r="J620" s="9"/>
      <c r="K620" s="9"/>
      <c r="L620" s="9"/>
      <c r="M620" s="9"/>
      <c r="N620" s="9"/>
      <c r="O620" s="9"/>
      <c r="P620" s="9"/>
    </row>
    <row r="621" ht="30.0" customHeight="1">
      <c r="A621" s="4" t="s">
        <v>9</v>
      </c>
      <c r="B621" s="8" t="s">
        <v>10</v>
      </c>
      <c r="C621" s="6">
        <v>2151897.31</v>
      </c>
      <c r="D621" s="7" t="str">
        <f>HYPERLINK("http://www.usrc.it/AppRendiConta/det_655_20161116.pdf","Determina nr.655 del 16/11/2016")</f>
        <v>Determina nr.655 del 16/11/2016</v>
      </c>
      <c r="E621" s="5" t="s">
        <v>827</v>
      </c>
      <c r="F621" s="8" t="s">
        <v>12</v>
      </c>
      <c r="G621" s="8" t="s">
        <v>613</v>
      </c>
      <c r="H621" s="9"/>
      <c r="I621" s="9"/>
      <c r="J621" s="9"/>
      <c r="K621" s="9"/>
      <c r="L621" s="9"/>
      <c r="M621" s="9"/>
      <c r="N621" s="9"/>
      <c r="O621" s="9"/>
      <c r="P621" s="9"/>
    </row>
    <row r="622" ht="30.0" customHeight="1">
      <c r="A622" s="4" t="s">
        <v>68</v>
      </c>
      <c r="B622" s="8" t="s">
        <v>69</v>
      </c>
      <c r="C622" s="6">
        <v>309062.2</v>
      </c>
      <c r="D622" s="7" t="str">
        <f>HYPERLINK("http://www.usrc.it/AppRendiConta/det_659_20161116.pdf","Determina nr.659 del 16/11/2016")</f>
        <v>Determina nr.659 del 16/11/2016</v>
      </c>
      <c r="E622" s="5" t="s">
        <v>828</v>
      </c>
      <c r="F622" s="8" t="s">
        <v>12</v>
      </c>
      <c r="G622" s="8" t="s">
        <v>67</v>
      </c>
      <c r="H622" s="9"/>
      <c r="I622" s="9"/>
      <c r="J622" s="9"/>
      <c r="K622" s="9"/>
      <c r="L622" s="9"/>
      <c r="M622" s="9"/>
      <c r="N622" s="9"/>
      <c r="O622" s="9"/>
      <c r="P622" s="9"/>
    </row>
    <row r="623" ht="30.0" customHeight="1">
      <c r="A623" s="4" t="s">
        <v>341</v>
      </c>
      <c r="B623" s="8" t="s">
        <v>342</v>
      </c>
      <c r="C623" s="6">
        <v>6700.55</v>
      </c>
      <c r="D623" s="7" t="str">
        <f>HYPERLINK("http://www.usrc.it/AppRendiConta/det_661_20161116.pdf","Determina nr.661 del 16/11/2016")</f>
        <v>Determina nr.661 del 16/11/2016</v>
      </c>
      <c r="E623" s="5" t="s">
        <v>829</v>
      </c>
      <c r="F623" s="8" t="s">
        <v>12</v>
      </c>
      <c r="G623" s="5" t="s">
        <v>30</v>
      </c>
      <c r="H623" s="9"/>
      <c r="I623" s="9"/>
      <c r="J623" s="9"/>
      <c r="K623" s="9"/>
      <c r="L623" s="9"/>
      <c r="M623" s="9"/>
      <c r="N623" s="9"/>
      <c r="O623" s="9"/>
      <c r="P623" s="9"/>
    </row>
    <row r="624" ht="30.0" customHeight="1">
      <c r="A624" s="4" t="s">
        <v>380</v>
      </c>
      <c r="B624" s="8" t="s">
        <v>381</v>
      </c>
      <c r="C624" s="6">
        <v>16768.37</v>
      </c>
      <c r="D624" s="7" t="str">
        <f>HYPERLINK("http://www.usrc.it/AppRendiConta/det_662_20161116.pdf","Determina nr.662 del 16/11/2016")</f>
        <v>Determina nr.662 del 16/11/2016</v>
      </c>
      <c r="E624" s="5" t="s">
        <v>830</v>
      </c>
      <c r="F624" s="8" t="s">
        <v>12</v>
      </c>
      <c r="G624" s="8" t="s">
        <v>67</v>
      </c>
      <c r="H624" s="9"/>
      <c r="I624" s="9"/>
      <c r="J624" s="9"/>
      <c r="K624" s="9"/>
      <c r="L624" s="9"/>
      <c r="M624" s="9"/>
      <c r="N624" s="9"/>
      <c r="O624" s="9"/>
      <c r="P624" s="9"/>
    </row>
    <row r="625" ht="30.0" customHeight="1">
      <c r="A625" s="4" t="s">
        <v>313</v>
      </c>
      <c r="B625" s="8" t="s">
        <v>314</v>
      </c>
      <c r="C625" s="6">
        <v>10000.0</v>
      </c>
      <c r="D625" s="7" t="str">
        <f>HYPERLINK("http://www.usrc.it/AppRendiConta/det_664_20161116.pdf","Determina nr.664 del 16/11/2016")</f>
        <v>Determina nr.664 del 16/11/2016</v>
      </c>
      <c r="E625" s="5" t="s">
        <v>831</v>
      </c>
      <c r="F625" s="8" t="s">
        <v>12</v>
      </c>
      <c r="G625" s="5" t="s">
        <v>749</v>
      </c>
      <c r="H625" s="9"/>
      <c r="I625" s="9"/>
      <c r="J625" s="9"/>
      <c r="K625" s="9"/>
      <c r="L625" s="9"/>
      <c r="M625" s="9"/>
      <c r="N625" s="9"/>
      <c r="O625" s="9"/>
      <c r="P625" s="9"/>
    </row>
    <row r="626" ht="30.0" customHeight="1">
      <c r="A626" s="4" t="s">
        <v>377</v>
      </c>
      <c r="B626" s="8" t="s">
        <v>378</v>
      </c>
      <c r="C626" s="6">
        <v>49724.6</v>
      </c>
      <c r="D626" s="7" t="str">
        <f>HYPERLINK("http://www.usrc.it/AppRendiConta/det_670_20161116.pdf","Determina nr.670 del 16/11/2016")</f>
        <v>Determina nr.670 del 16/11/2016</v>
      </c>
      <c r="E626" s="5" t="s">
        <v>832</v>
      </c>
      <c r="F626" s="8" t="s">
        <v>12</v>
      </c>
      <c r="G626" s="8" t="s">
        <v>67</v>
      </c>
      <c r="H626" s="9"/>
      <c r="I626" s="9"/>
      <c r="J626" s="9"/>
      <c r="K626" s="9"/>
      <c r="L626" s="9"/>
      <c r="M626" s="9"/>
      <c r="N626" s="9"/>
      <c r="O626" s="9"/>
      <c r="P626" s="9"/>
    </row>
    <row r="627" ht="30.0" customHeight="1">
      <c r="A627" s="4" t="s">
        <v>266</v>
      </c>
      <c r="B627" s="8" t="s">
        <v>267</v>
      </c>
      <c r="C627" s="6">
        <v>257121.1</v>
      </c>
      <c r="D627" s="7" t="str">
        <f>HYPERLINK("http://www.usrc.it/AppRendiConta/det_672_20161116.pdf","Determina nr.672 del 16/11/2016")</f>
        <v>Determina nr.672 del 16/11/2016</v>
      </c>
      <c r="E627" s="5" t="s">
        <v>833</v>
      </c>
      <c r="F627" s="8" t="s">
        <v>12</v>
      </c>
      <c r="G627" s="8" t="s">
        <v>85</v>
      </c>
      <c r="H627" s="9"/>
      <c r="I627" s="9"/>
      <c r="J627" s="9"/>
      <c r="K627" s="9"/>
      <c r="L627" s="9"/>
      <c r="M627" s="9"/>
      <c r="N627" s="9"/>
      <c r="O627" s="9"/>
      <c r="P627" s="9"/>
    </row>
    <row r="628" ht="30.0" customHeight="1">
      <c r="A628" s="4" t="s">
        <v>289</v>
      </c>
      <c r="B628" s="8" t="s">
        <v>290</v>
      </c>
      <c r="C628" s="6">
        <v>4841820.28</v>
      </c>
      <c r="D628" s="7" t="str">
        <f>HYPERLINK("http://www.usrc.it/AppRendiConta/det_678_20161124.pdf","Determina nr.678 del 24/11/2016")</f>
        <v>Determina nr.678 del 24/11/2016</v>
      </c>
      <c r="E628" s="5" t="s">
        <v>834</v>
      </c>
      <c r="F628" s="8" t="s">
        <v>12</v>
      </c>
      <c r="G628" s="8" t="s">
        <v>613</v>
      </c>
      <c r="H628" s="9"/>
      <c r="I628" s="9"/>
      <c r="J628" s="9"/>
      <c r="K628" s="9"/>
      <c r="L628" s="9"/>
      <c r="M628" s="9"/>
      <c r="N628" s="9"/>
      <c r="O628" s="9"/>
      <c r="P628" s="9"/>
    </row>
    <row r="629" ht="30.0" customHeight="1">
      <c r="A629" s="4" t="s">
        <v>131</v>
      </c>
      <c r="B629" s="8" t="s">
        <v>132</v>
      </c>
      <c r="C629" s="6">
        <v>64151.42</v>
      </c>
      <c r="D629" s="7" t="str">
        <f>HYPERLINK("http://www.usrc.it/AppRendiConta/det_679_20161128.pdf","Determina nr.679 del 28/11/2016")</f>
        <v>Determina nr.679 del 28/11/2016</v>
      </c>
      <c r="E629" s="5" t="s">
        <v>835</v>
      </c>
      <c r="F629" s="8" t="s">
        <v>12</v>
      </c>
      <c r="G629" s="8" t="s">
        <v>67</v>
      </c>
      <c r="H629" s="9"/>
      <c r="I629" s="9"/>
      <c r="J629" s="9"/>
      <c r="K629" s="9"/>
      <c r="L629" s="9"/>
      <c r="M629" s="9"/>
      <c r="N629" s="9"/>
      <c r="O629" s="9"/>
      <c r="P629" s="9"/>
    </row>
    <row r="630" ht="30.0" customHeight="1">
      <c r="A630" s="4" t="s">
        <v>151</v>
      </c>
      <c r="B630" s="5" t="s">
        <v>152</v>
      </c>
      <c r="C630" s="6">
        <v>37622.27</v>
      </c>
      <c r="D630" s="7" t="str">
        <f>HYPERLINK("http://www.usrc.it/AppRendiConta/det_680_20161128.pdf","Determina nr.680 del 28/11/2016")</f>
        <v>Determina nr.680 del 28/11/2016</v>
      </c>
      <c r="E630" s="5" t="s">
        <v>836</v>
      </c>
      <c r="F630" s="8" t="s">
        <v>12</v>
      </c>
      <c r="G630" s="8" t="s">
        <v>67</v>
      </c>
      <c r="H630" s="9"/>
      <c r="I630" s="9"/>
      <c r="J630" s="9"/>
      <c r="K630" s="9"/>
      <c r="L630" s="9"/>
      <c r="M630" s="9"/>
      <c r="N630" s="9"/>
      <c r="O630" s="9"/>
      <c r="P630" s="9"/>
    </row>
    <row r="631" ht="30.0" customHeight="1">
      <c r="A631" s="4" t="s">
        <v>23</v>
      </c>
      <c r="B631" s="5" t="s">
        <v>24</v>
      </c>
      <c r="C631" s="6">
        <v>183605.99</v>
      </c>
      <c r="D631" s="7" t="str">
        <f>HYPERLINK("http://www.usrc.it/AppRendiConta/det_681_20161128.pdf","Determina nr.681 del 28/11/2016")</f>
        <v>Determina nr.681 del 28/11/2016</v>
      </c>
      <c r="E631" s="5" t="s">
        <v>837</v>
      </c>
      <c r="F631" s="8" t="s">
        <v>12</v>
      </c>
      <c r="G631" s="8" t="s">
        <v>85</v>
      </c>
      <c r="H631" s="9"/>
      <c r="I631" s="9"/>
      <c r="J631" s="9"/>
      <c r="K631" s="9"/>
      <c r="L631" s="9"/>
      <c r="M631" s="9"/>
      <c r="N631" s="9"/>
      <c r="O631" s="9"/>
      <c r="P631" s="9"/>
    </row>
    <row r="632" ht="30.0" customHeight="1">
      <c r="A632" s="4" t="s">
        <v>380</v>
      </c>
      <c r="B632" s="8" t="s">
        <v>381</v>
      </c>
      <c r="C632" s="6">
        <v>4295456.55</v>
      </c>
      <c r="D632" s="7" t="str">
        <f>HYPERLINK("http://www.usrc.it/AppRendiConta/det_689_20161201.pdf","Determina n.689 del 01/12/2016")</f>
        <v>Determina n.689 del 01/12/2016</v>
      </c>
      <c r="E632" s="5" t="s">
        <v>838</v>
      </c>
      <c r="F632" s="8" t="s">
        <v>12</v>
      </c>
      <c r="G632" s="8" t="s">
        <v>613</v>
      </c>
      <c r="H632" s="9"/>
      <c r="I632" s="9"/>
      <c r="J632" s="9"/>
      <c r="K632" s="9"/>
      <c r="L632" s="9"/>
      <c r="M632" s="9"/>
      <c r="N632" s="9"/>
      <c r="O632" s="9"/>
      <c r="P632" s="9"/>
    </row>
    <row r="633" ht="30.0" customHeight="1">
      <c r="A633" s="4" t="s">
        <v>205</v>
      </c>
      <c r="B633" s="5" t="s">
        <v>206</v>
      </c>
      <c r="C633" s="6">
        <v>1855941.95</v>
      </c>
      <c r="D633" s="7" t="str">
        <f>HYPERLINK("http://www.usrc.it/AppRendiConta/det_690_20161201.pdf","Determina n.690 del 01/12/2016")</f>
        <v>Determina n.690 del 01/12/2016</v>
      </c>
      <c r="E633" s="5" t="s">
        <v>839</v>
      </c>
      <c r="F633" s="8" t="s">
        <v>12</v>
      </c>
      <c r="G633" s="8" t="s">
        <v>840</v>
      </c>
      <c r="H633" s="9"/>
      <c r="I633" s="9"/>
      <c r="J633" s="9"/>
      <c r="K633" s="9"/>
      <c r="L633" s="9"/>
      <c r="M633" s="9"/>
      <c r="N633" s="9"/>
      <c r="O633" s="9"/>
      <c r="P633" s="9"/>
    </row>
    <row r="634" ht="30.0" customHeight="1">
      <c r="A634" s="4" t="s">
        <v>183</v>
      </c>
      <c r="B634" s="5" t="s">
        <v>184</v>
      </c>
      <c r="C634" s="6">
        <v>220494.83</v>
      </c>
      <c r="D634" s="7" t="str">
        <f>HYPERLINK("http://www.usrc.it/AppRendiConta/det_693_20161205.pdf","Determina n.693 del 05/12/2016")</f>
        <v>Determina n.693 del 05/12/2016</v>
      </c>
      <c r="E634" s="5" t="s">
        <v>841</v>
      </c>
      <c r="F634" s="8" t="s">
        <v>12</v>
      </c>
      <c r="G634" s="8" t="s">
        <v>842</v>
      </c>
      <c r="H634" s="9"/>
      <c r="I634" s="9"/>
      <c r="J634" s="9"/>
      <c r="K634" s="9"/>
      <c r="L634" s="9"/>
      <c r="M634" s="9"/>
      <c r="N634" s="9"/>
      <c r="O634" s="9"/>
      <c r="P634" s="9"/>
    </row>
    <row r="635" ht="30.0" customHeight="1">
      <c r="A635" s="4" t="s">
        <v>168</v>
      </c>
      <c r="B635" s="5" t="s">
        <v>169</v>
      </c>
      <c r="C635" s="6">
        <v>221377.32</v>
      </c>
      <c r="D635" s="7" t="str">
        <f>HYPERLINK("http://www.usrc.it/AppRendiConta/det_694_20161205.pdf","Determina n.694 del 05/12/2016")</f>
        <v>Determina n.694 del 05/12/2016</v>
      </c>
      <c r="E635" s="5" t="s">
        <v>843</v>
      </c>
      <c r="F635" s="8" t="s">
        <v>12</v>
      </c>
      <c r="G635" s="8" t="s">
        <v>842</v>
      </c>
      <c r="H635" s="9"/>
      <c r="I635" s="9"/>
      <c r="J635" s="9"/>
      <c r="K635" s="9"/>
      <c r="L635" s="9"/>
      <c r="M635" s="9"/>
      <c r="N635" s="9"/>
      <c r="O635" s="9"/>
      <c r="P635" s="9"/>
    </row>
    <row r="636" ht="30.0" customHeight="1">
      <c r="A636" s="4" t="s">
        <v>380</v>
      </c>
      <c r="B636" s="5" t="s">
        <v>381</v>
      </c>
      <c r="C636" s="6">
        <v>19800.0</v>
      </c>
      <c r="D636" s="7" t="str">
        <f>HYPERLINK("http://www.usrc.it/AppRendiConta/det_697_20161205.pdf","Determina n.697 del 05/12/2016")</f>
        <v>Determina n.697 del 05/12/2016</v>
      </c>
      <c r="E636" s="5" t="s">
        <v>203</v>
      </c>
      <c r="F636" s="8" t="s">
        <v>12</v>
      </c>
      <c r="G636" s="8" t="s">
        <v>322</v>
      </c>
      <c r="H636" s="9"/>
      <c r="I636" s="9"/>
      <c r="J636" s="9"/>
      <c r="K636" s="9"/>
      <c r="L636" s="9"/>
      <c r="M636" s="9"/>
      <c r="N636" s="9"/>
      <c r="O636" s="9"/>
      <c r="P636" s="9"/>
    </row>
    <row r="637" ht="30.0" customHeight="1">
      <c r="A637" s="4" t="s">
        <v>37</v>
      </c>
      <c r="B637" s="5" t="s">
        <v>38</v>
      </c>
      <c r="C637" s="6">
        <v>9000.0</v>
      </c>
      <c r="D637" s="7" t="str">
        <f t="shared" ref="D637:D642" si="52">HYPERLINK("http://www.usrc.it/AppRendiConta/det_698_20161205.pdf","Determina n.698 del 05/12/2016")</f>
        <v>Determina n.698 del 05/12/2016</v>
      </c>
      <c r="E637" s="5" t="s">
        <v>844</v>
      </c>
      <c r="F637" s="8" t="s">
        <v>12</v>
      </c>
      <c r="G637" s="8" t="s">
        <v>460</v>
      </c>
      <c r="H637" s="9"/>
      <c r="I637" s="9"/>
      <c r="J637" s="9"/>
      <c r="K637" s="9"/>
      <c r="L637" s="9"/>
      <c r="M637" s="9"/>
      <c r="N637" s="9"/>
      <c r="O637" s="9"/>
      <c r="P637" s="9"/>
    </row>
    <row r="638" ht="30.0" customHeight="1">
      <c r="A638" s="4" t="s">
        <v>323</v>
      </c>
      <c r="B638" s="5" t="s">
        <v>324</v>
      </c>
      <c r="C638" s="6">
        <v>9000.0</v>
      </c>
      <c r="D638" s="7" t="str">
        <f t="shared" si="52"/>
        <v>Determina n.698 del 05/12/2016</v>
      </c>
      <c r="E638" s="5" t="s">
        <v>806</v>
      </c>
      <c r="F638" s="8" t="s">
        <v>12</v>
      </c>
      <c r="G638" s="8" t="s">
        <v>460</v>
      </c>
      <c r="H638" s="9"/>
      <c r="I638" s="9"/>
      <c r="J638" s="9"/>
      <c r="K638" s="9"/>
      <c r="L638" s="9"/>
      <c r="M638" s="9"/>
      <c r="N638" s="9"/>
      <c r="O638" s="9"/>
      <c r="P638" s="9"/>
    </row>
    <row r="639" ht="30.0" customHeight="1">
      <c r="A639" s="4" t="s">
        <v>131</v>
      </c>
      <c r="B639" s="5" t="s">
        <v>132</v>
      </c>
      <c r="C639" s="6">
        <v>8999.97</v>
      </c>
      <c r="D639" s="7" t="str">
        <f t="shared" si="52"/>
        <v>Determina n.698 del 05/12/2016</v>
      </c>
      <c r="E639" s="5" t="s">
        <v>714</v>
      </c>
      <c r="F639" s="8" t="s">
        <v>12</v>
      </c>
      <c r="G639" s="8" t="s">
        <v>460</v>
      </c>
      <c r="H639" s="9"/>
      <c r="I639" s="9"/>
      <c r="J639" s="9"/>
      <c r="K639" s="9"/>
      <c r="L639" s="9"/>
      <c r="M639" s="9"/>
      <c r="N639" s="9"/>
      <c r="O639" s="9"/>
      <c r="P639" s="9"/>
    </row>
    <row r="640" ht="30.0" customHeight="1">
      <c r="A640" s="4" t="s">
        <v>14</v>
      </c>
      <c r="B640" s="5" t="s">
        <v>15</v>
      </c>
      <c r="C640" s="6">
        <v>9000.0</v>
      </c>
      <c r="D640" s="7" t="str">
        <f t="shared" si="52"/>
        <v>Determina n.698 del 05/12/2016</v>
      </c>
      <c r="E640" s="5" t="s">
        <v>714</v>
      </c>
      <c r="F640" s="8" t="s">
        <v>12</v>
      </c>
      <c r="G640" s="8" t="s">
        <v>460</v>
      </c>
      <c r="H640" s="9"/>
      <c r="I640" s="9"/>
      <c r="J640" s="9"/>
      <c r="K640" s="9"/>
      <c r="L640" s="9"/>
      <c r="M640" s="9"/>
      <c r="N640" s="9"/>
      <c r="O640" s="9"/>
      <c r="P640" s="9"/>
    </row>
    <row r="641" ht="30.0" customHeight="1">
      <c r="A641" s="4" t="s">
        <v>380</v>
      </c>
      <c r="B641" s="5" t="s">
        <v>381</v>
      </c>
      <c r="C641" s="6">
        <v>9000.0</v>
      </c>
      <c r="D641" s="7" t="str">
        <f t="shared" si="52"/>
        <v>Determina n.698 del 05/12/2016</v>
      </c>
      <c r="E641" s="5" t="s">
        <v>714</v>
      </c>
      <c r="F641" s="8" t="s">
        <v>12</v>
      </c>
      <c r="G641" s="8" t="s">
        <v>460</v>
      </c>
      <c r="H641" s="9"/>
      <c r="I641" s="9"/>
      <c r="J641" s="9"/>
      <c r="K641" s="9"/>
      <c r="L641" s="9"/>
      <c r="M641" s="9"/>
      <c r="N641" s="9"/>
      <c r="O641" s="9"/>
      <c r="P641" s="9"/>
    </row>
    <row r="642" ht="30.0" customHeight="1">
      <c r="A642" s="4" t="s">
        <v>310</v>
      </c>
      <c r="B642" s="5" t="s">
        <v>311</v>
      </c>
      <c r="C642" s="6">
        <v>9000.0</v>
      </c>
      <c r="D642" s="7" t="str">
        <f t="shared" si="52"/>
        <v>Determina n.698 del 05/12/2016</v>
      </c>
      <c r="E642" s="5" t="s">
        <v>714</v>
      </c>
      <c r="F642" s="8" t="s">
        <v>12</v>
      </c>
      <c r="G642" s="8" t="s">
        <v>460</v>
      </c>
      <c r="H642" s="9"/>
      <c r="I642" s="9"/>
      <c r="J642" s="9"/>
      <c r="K642" s="9"/>
      <c r="L642" s="9"/>
      <c r="M642" s="9"/>
      <c r="N642" s="9"/>
      <c r="O642" s="9"/>
      <c r="P642" s="9"/>
    </row>
    <row r="643" ht="30.0" customHeight="1">
      <c r="A643" s="4" t="s">
        <v>37</v>
      </c>
      <c r="B643" s="5" t="s">
        <v>38</v>
      </c>
      <c r="C643" s="6">
        <v>21600.0</v>
      </c>
      <c r="D643" s="7" t="str">
        <f t="shared" ref="D643:D645" si="53">HYPERLINK("http://www.usrc.it/AppRendiConta/det_699_20161205.pdf","Determina n.699 del 05/12/2016")</f>
        <v>Determina n.699 del 05/12/2016</v>
      </c>
      <c r="E643" s="5" t="s">
        <v>208</v>
      </c>
      <c r="F643" s="8" t="s">
        <v>12</v>
      </c>
      <c r="G643" s="8" t="s">
        <v>648</v>
      </c>
      <c r="H643" s="9"/>
      <c r="I643" s="9"/>
      <c r="J643" s="9"/>
      <c r="K643" s="9"/>
      <c r="L643" s="9"/>
      <c r="M643" s="9"/>
      <c r="N643" s="9"/>
      <c r="O643" s="9"/>
      <c r="P643" s="9"/>
    </row>
    <row r="644" ht="30.0" customHeight="1">
      <c r="A644" s="4" t="s">
        <v>380</v>
      </c>
      <c r="B644" s="5" t="s">
        <v>381</v>
      </c>
      <c r="C644" s="6">
        <v>21600.0</v>
      </c>
      <c r="D644" s="7" t="str">
        <f t="shared" si="53"/>
        <v>Determina n.699 del 05/12/2016</v>
      </c>
      <c r="E644" s="5" t="s">
        <v>208</v>
      </c>
      <c r="F644" s="8" t="s">
        <v>12</v>
      </c>
      <c r="G644" s="8" t="s">
        <v>648</v>
      </c>
      <c r="H644" s="9"/>
      <c r="I644" s="9"/>
      <c r="J644" s="9"/>
      <c r="K644" s="9"/>
      <c r="L644" s="9"/>
      <c r="M644" s="9"/>
      <c r="N644" s="9"/>
      <c r="O644" s="9"/>
      <c r="P644" s="9"/>
    </row>
    <row r="645" ht="30.0" customHeight="1">
      <c r="A645" s="4" t="s">
        <v>310</v>
      </c>
      <c r="B645" s="5" t="s">
        <v>311</v>
      </c>
      <c r="C645" s="6">
        <v>21600.0</v>
      </c>
      <c r="D645" s="7" t="str">
        <f t="shared" si="53"/>
        <v>Determina n.699 del 05/12/2016</v>
      </c>
      <c r="E645" s="5" t="s">
        <v>208</v>
      </c>
      <c r="F645" s="8" t="s">
        <v>12</v>
      </c>
      <c r="G645" s="8" t="s">
        <v>648</v>
      </c>
      <c r="H645" s="9"/>
      <c r="I645" s="9"/>
      <c r="J645" s="9"/>
      <c r="K645" s="9"/>
      <c r="L645" s="9"/>
      <c r="M645" s="9"/>
      <c r="N645" s="9"/>
      <c r="O645" s="9"/>
      <c r="P645" s="9"/>
    </row>
    <row r="646" ht="30.0" customHeight="1">
      <c r="A646" s="4" t="s">
        <v>292</v>
      </c>
      <c r="B646" s="8" t="s">
        <v>293</v>
      </c>
      <c r="C646" s="6">
        <v>10542.0</v>
      </c>
      <c r="D646" s="7" t="str">
        <f t="shared" ref="D646:D647" si="54">HYPERLINK("http://www.usrc.it/AppRendiConta/det_700_20161205.pdf","Determina n.700 del 05/12/2016")</f>
        <v>Determina n.700 del 05/12/2016</v>
      </c>
      <c r="E646" s="5" t="s">
        <v>845</v>
      </c>
      <c r="F646" s="8" t="s">
        <v>12</v>
      </c>
      <c r="G646" s="8" t="s">
        <v>30</v>
      </c>
      <c r="H646" s="9"/>
      <c r="I646" s="9"/>
      <c r="J646" s="9"/>
      <c r="K646" s="9"/>
      <c r="L646" s="9"/>
      <c r="M646" s="9"/>
      <c r="N646" s="9"/>
      <c r="O646" s="9"/>
      <c r="P646" s="9"/>
    </row>
    <row r="647" ht="30.0" customHeight="1">
      <c r="A647" s="4" t="s">
        <v>189</v>
      </c>
      <c r="B647" s="8" t="s">
        <v>190</v>
      </c>
      <c r="C647" s="6">
        <v>8477.0</v>
      </c>
      <c r="D647" s="7" t="str">
        <f t="shared" si="54"/>
        <v>Determina n.700 del 05/12/2016</v>
      </c>
      <c r="E647" s="5" t="s">
        <v>846</v>
      </c>
      <c r="F647" s="8" t="s">
        <v>12</v>
      </c>
      <c r="G647" s="8" t="s">
        <v>30</v>
      </c>
      <c r="H647" s="9"/>
      <c r="I647" s="9"/>
      <c r="J647" s="9"/>
      <c r="K647" s="9"/>
      <c r="L647" s="9"/>
      <c r="M647" s="9"/>
      <c r="N647" s="9"/>
      <c r="O647" s="9"/>
      <c r="P647" s="9"/>
    </row>
    <row r="648" ht="30.0" customHeight="1">
      <c r="A648" s="4" t="s">
        <v>241</v>
      </c>
      <c r="B648" s="8" t="s">
        <v>242</v>
      </c>
      <c r="C648" s="6">
        <v>15352.1</v>
      </c>
      <c r="D648" s="7" t="str">
        <f t="shared" ref="D648:D655" si="55">HYPERLINK("http://www.usrc.it/AppRendiConta/det_701_20161205.pdf","Determina n.701 del 05/12/2016")</f>
        <v>Determina n.701 del 05/12/2016</v>
      </c>
      <c r="E648" s="5" t="s">
        <v>847</v>
      </c>
      <c r="F648" s="8" t="s">
        <v>12</v>
      </c>
      <c r="G648" s="8" t="s">
        <v>30</v>
      </c>
      <c r="H648" s="9"/>
      <c r="I648" s="9"/>
      <c r="J648" s="9"/>
      <c r="K648" s="9"/>
      <c r="L648" s="9"/>
      <c r="M648" s="9"/>
      <c r="N648" s="9"/>
      <c r="O648" s="9"/>
      <c r="P648" s="9"/>
    </row>
    <row r="649" ht="30.0" customHeight="1">
      <c r="A649" s="4" t="s">
        <v>139</v>
      </c>
      <c r="B649" s="8" t="s">
        <v>140</v>
      </c>
      <c r="C649" s="6">
        <v>15521.2</v>
      </c>
      <c r="D649" s="7" t="str">
        <f t="shared" si="55"/>
        <v>Determina n.701 del 05/12/2016</v>
      </c>
      <c r="E649" s="5" t="s">
        <v>848</v>
      </c>
      <c r="F649" s="8" t="s">
        <v>12</v>
      </c>
      <c r="G649" s="8" t="s">
        <v>30</v>
      </c>
      <c r="H649" s="9"/>
      <c r="I649" s="9"/>
      <c r="J649" s="9"/>
      <c r="K649" s="9"/>
      <c r="L649" s="9"/>
      <c r="M649" s="9"/>
      <c r="N649" s="9"/>
      <c r="O649" s="9"/>
      <c r="P649" s="9"/>
    </row>
    <row r="650" ht="30.0" customHeight="1">
      <c r="A650" s="4" t="s">
        <v>368</v>
      </c>
      <c r="B650" s="8" t="s">
        <v>214</v>
      </c>
      <c r="C650" s="6">
        <v>12488.0</v>
      </c>
      <c r="D650" s="7" t="str">
        <f t="shared" si="55"/>
        <v>Determina n.701 del 05/12/2016</v>
      </c>
      <c r="E650" s="5" t="s">
        <v>849</v>
      </c>
      <c r="F650" s="8" t="s">
        <v>12</v>
      </c>
      <c r="G650" s="8" t="s">
        <v>30</v>
      </c>
      <c r="H650" s="9"/>
      <c r="I650" s="9"/>
      <c r="J650" s="9"/>
      <c r="K650" s="9"/>
      <c r="L650" s="9"/>
      <c r="M650" s="9"/>
      <c r="N650" s="9"/>
      <c r="O650" s="9"/>
      <c r="P650" s="9"/>
    </row>
    <row r="651" ht="30.0" customHeight="1">
      <c r="A651" s="4" t="s">
        <v>226</v>
      </c>
      <c r="B651" s="8" t="s">
        <v>227</v>
      </c>
      <c r="C651" s="6">
        <v>2239.2</v>
      </c>
      <c r="D651" s="7" t="str">
        <f t="shared" si="55"/>
        <v>Determina n.701 del 05/12/2016</v>
      </c>
      <c r="E651" s="5" t="s">
        <v>498</v>
      </c>
      <c r="F651" s="8" t="s">
        <v>12</v>
      </c>
      <c r="G651" s="8" t="s">
        <v>30</v>
      </c>
      <c r="H651" s="9"/>
      <c r="I651" s="9"/>
      <c r="J651" s="9"/>
      <c r="K651" s="9"/>
      <c r="L651" s="9"/>
      <c r="M651" s="9"/>
      <c r="N651" s="9"/>
      <c r="O651" s="9"/>
      <c r="P651" s="9"/>
    </row>
    <row r="652" ht="30.0" customHeight="1">
      <c r="A652" s="4" t="s">
        <v>205</v>
      </c>
      <c r="B652" s="8" t="s">
        <v>206</v>
      </c>
      <c r="C652" s="6">
        <v>2500.0</v>
      </c>
      <c r="D652" s="7" t="str">
        <f t="shared" si="55"/>
        <v>Determina n.701 del 05/12/2016</v>
      </c>
      <c r="E652" s="5" t="s">
        <v>800</v>
      </c>
      <c r="F652" s="8" t="s">
        <v>12</v>
      </c>
      <c r="G652" s="8" t="s">
        <v>30</v>
      </c>
      <c r="H652" s="9"/>
      <c r="I652" s="9"/>
      <c r="J652" s="9"/>
      <c r="K652" s="9"/>
      <c r="L652" s="9"/>
      <c r="M652" s="9"/>
      <c r="N652" s="9"/>
      <c r="O652" s="9"/>
      <c r="P652" s="9"/>
    </row>
    <row r="653" ht="30.0" customHeight="1">
      <c r="A653" s="4" t="s">
        <v>380</v>
      </c>
      <c r="B653" s="8" t="s">
        <v>381</v>
      </c>
      <c r="C653" s="6">
        <v>80844.05</v>
      </c>
      <c r="D653" s="7" t="str">
        <f t="shared" si="55"/>
        <v>Determina n.701 del 05/12/2016</v>
      </c>
      <c r="E653" s="5" t="s">
        <v>850</v>
      </c>
      <c r="F653" s="8" t="s">
        <v>12</v>
      </c>
      <c r="G653" s="8" t="s">
        <v>30</v>
      </c>
      <c r="H653" s="9"/>
      <c r="I653" s="9"/>
      <c r="J653" s="9"/>
      <c r="K653" s="9"/>
      <c r="L653" s="9"/>
      <c r="M653" s="9"/>
      <c r="N653" s="9"/>
      <c r="O653" s="9"/>
      <c r="P653" s="9"/>
    </row>
    <row r="654" ht="30.0" customHeight="1">
      <c r="A654" s="4" t="s">
        <v>34</v>
      </c>
      <c r="B654" s="8" t="s">
        <v>35</v>
      </c>
      <c r="C654" s="6">
        <v>1800.0</v>
      </c>
      <c r="D654" s="7" t="str">
        <f t="shared" si="55"/>
        <v>Determina n.701 del 05/12/2016</v>
      </c>
      <c r="E654" s="5" t="s">
        <v>643</v>
      </c>
      <c r="F654" s="8" t="s">
        <v>12</v>
      </c>
      <c r="G654" s="8" t="s">
        <v>30</v>
      </c>
      <c r="H654" s="9"/>
      <c r="I654" s="9"/>
      <c r="J654" s="9"/>
      <c r="K654" s="9"/>
      <c r="L654" s="9"/>
      <c r="M654" s="9"/>
      <c r="N654" s="9"/>
      <c r="O654" s="9"/>
      <c r="P654" s="9"/>
    </row>
    <row r="655" ht="30.0" customHeight="1">
      <c r="A655" s="4" t="s">
        <v>508</v>
      </c>
      <c r="B655" s="8" t="s">
        <v>509</v>
      </c>
      <c r="C655" s="6">
        <v>5035.88</v>
      </c>
      <c r="D655" s="7" t="str">
        <f t="shared" si="55"/>
        <v>Determina n.701 del 05/12/2016</v>
      </c>
      <c r="E655" s="5" t="s">
        <v>851</v>
      </c>
      <c r="F655" s="8" t="s">
        <v>12</v>
      </c>
      <c r="G655" s="8" t="s">
        <v>30</v>
      </c>
      <c r="H655" s="9"/>
      <c r="I655" s="9"/>
      <c r="J655" s="9"/>
      <c r="K655" s="9"/>
      <c r="L655" s="9"/>
      <c r="M655" s="9"/>
      <c r="N655" s="9"/>
      <c r="O655" s="9"/>
      <c r="P655" s="9"/>
    </row>
    <row r="656" ht="30.0" customHeight="1">
      <c r="A656" s="4" t="s">
        <v>785</v>
      </c>
      <c r="B656" s="8" t="s">
        <v>786</v>
      </c>
      <c r="C656" s="6">
        <v>745.73</v>
      </c>
      <c r="D656" s="7" t="str">
        <f>HYPERLINK("http://www.usrc.it/AppRendiConta/det_702_20161205.pdf","Determina n.702 del 05/12/2016")</f>
        <v>Determina n.702 del 05/12/2016</v>
      </c>
      <c r="E656" s="5" t="s">
        <v>852</v>
      </c>
      <c r="F656" s="8" t="s">
        <v>12</v>
      </c>
      <c r="G656" s="8" t="s">
        <v>30</v>
      </c>
      <c r="H656" s="9"/>
      <c r="I656" s="9"/>
      <c r="J656" s="9"/>
      <c r="K656" s="9"/>
      <c r="L656" s="9"/>
      <c r="M656" s="9"/>
      <c r="N656" s="9"/>
      <c r="O656" s="9"/>
      <c r="P656" s="9"/>
    </row>
    <row r="657" ht="30.0" customHeight="1">
      <c r="A657" s="4" t="s">
        <v>154</v>
      </c>
      <c r="B657" s="8" t="s">
        <v>155</v>
      </c>
      <c r="C657" s="6">
        <v>2950.0</v>
      </c>
      <c r="D657" s="7" t="str">
        <f t="shared" ref="D657:D659" si="56">HYPERLINK("http://www.usrc.it/AppRendiConta/det_703_20161205.pdf","Determina n.703 del 05/12/2016")</f>
        <v>Determina n.703 del 05/12/2016</v>
      </c>
      <c r="E657" s="5" t="s">
        <v>853</v>
      </c>
      <c r="F657" s="8" t="s">
        <v>12</v>
      </c>
      <c r="G657" s="8" t="s">
        <v>30</v>
      </c>
      <c r="H657" s="9"/>
      <c r="I657" s="9"/>
      <c r="J657" s="9"/>
      <c r="K657" s="9"/>
      <c r="L657" s="9"/>
      <c r="M657" s="9"/>
      <c r="N657" s="9"/>
      <c r="O657" s="9"/>
      <c r="P657" s="9"/>
    </row>
    <row r="658" ht="30.0" customHeight="1">
      <c r="A658" s="4" t="s">
        <v>235</v>
      </c>
      <c r="B658" s="8" t="s">
        <v>236</v>
      </c>
      <c r="C658" s="6">
        <v>2200.0</v>
      </c>
      <c r="D658" s="7" t="str">
        <f t="shared" si="56"/>
        <v>Determina n.703 del 05/12/2016</v>
      </c>
      <c r="E658" s="5" t="s">
        <v>854</v>
      </c>
      <c r="F658" s="8" t="s">
        <v>12</v>
      </c>
      <c r="G658" s="8" t="s">
        <v>30</v>
      </c>
      <c r="H658" s="9"/>
      <c r="I658" s="9"/>
      <c r="J658" s="9"/>
      <c r="K658" s="9"/>
      <c r="L658" s="9"/>
      <c r="M658" s="9"/>
      <c r="N658" s="9"/>
      <c r="O658" s="9"/>
      <c r="P658" s="9"/>
    </row>
    <row r="659" ht="30.0" customHeight="1">
      <c r="A659" s="4" t="s">
        <v>115</v>
      </c>
      <c r="B659" s="8" t="s">
        <v>116</v>
      </c>
      <c r="C659" s="6">
        <v>24000.0</v>
      </c>
      <c r="D659" s="7" t="str">
        <f t="shared" si="56"/>
        <v>Determina n.703 del 05/12/2016</v>
      </c>
      <c r="E659" s="5" t="s">
        <v>853</v>
      </c>
      <c r="F659" s="8" t="s">
        <v>12</v>
      </c>
      <c r="G659" s="8" t="s">
        <v>30</v>
      </c>
      <c r="H659" s="9"/>
      <c r="I659" s="9"/>
      <c r="J659" s="9"/>
      <c r="K659" s="9"/>
      <c r="L659" s="9"/>
      <c r="M659" s="9"/>
      <c r="N659" s="9"/>
      <c r="O659" s="9"/>
      <c r="P659" s="9"/>
    </row>
    <row r="660" ht="30.0" customHeight="1">
      <c r="A660" s="4" t="s">
        <v>135</v>
      </c>
      <c r="B660" s="8" t="s">
        <v>136</v>
      </c>
      <c r="C660" s="6">
        <v>5150.0</v>
      </c>
      <c r="D660" s="7" t="str">
        <f t="shared" ref="D660:D670" si="57">HYPERLINK("http://www.usrc.it/AppRendiConta/det_704_20161205.pdf","Determina n.704 del 05/12/2016")</f>
        <v>Determina n.704 del 05/12/2016</v>
      </c>
      <c r="E660" s="5" t="s">
        <v>855</v>
      </c>
      <c r="F660" s="8" t="s">
        <v>12</v>
      </c>
      <c r="G660" s="8" t="s">
        <v>626</v>
      </c>
      <c r="H660" s="9"/>
      <c r="I660" s="9"/>
      <c r="J660" s="9"/>
      <c r="K660" s="9"/>
      <c r="L660" s="9"/>
      <c r="M660" s="9"/>
      <c r="N660" s="9"/>
      <c r="O660" s="9"/>
      <c r="P660" s="9"/>
    </row>
    <row r="661" ht="30.0" customHeight="1">
      <c r="A661" s="4" t="s">
        <v>40</v>
      </c>
      <c r="B661" s="8" t="s">
        <v>41</v>
      </c>
      <c r="C661" s="6">
        <v>28560.0</v>
      </c>
      <c r="D661" s="7" t="str">
        <f t="shared" si="57"/>
        <v>Determina n.704 del 05/12/2016</v>
      </c>
      <c r="E661" s="5" t="s">
        <v>781</v>
      </c>
      <c r="F661" s="8" t="s">
        <v>12</v>
      </c>
      <c r="G661" s="8" t="s">
        <v>626</v>
      </c>
      <c r="H661" s="9"/>
      <c r="I661" s="9"/>
      <c r="J661" s="9"/>
      <c r="K661" s="9"/>
      <c r="L661" s="9"/>
      <c r="M661" s="9"/>
      <c r="N661" s="9"/>
      <c r="O661" s="9"/>
      <c r="P661" s="9"/>
    </row>
    <row r="662" ht="30.0" customHeight="1">
      <c r="A662" s="4" t="s">
        <v>139</v>
      </c>
      <c r="B662" s="5" t="s">
        <v>140</v>
      </c>
      <c r="C662" s="6">
        <v>7060.0</v>
      </c>
      <c r="D662" s="7" t="str">
        <f t="shared" si="57"/>
        <v>Determina n.704 del 05/12/2016</v>
      </c>
      <c r="E662" s="5" t="s">
        <v>856</v>
      </c>
      <c r="F662" s="8" t="s">
        <v>12</v>
      </c>
      <c r="G662" s="8" t="s">
        <v>626</v>
      </c>
      <c r="H662" s="9"/>
      <c r="I662" s="9"/>
      <c r="J662" s="9"/>
      <c r="K662" s="9"/>
      <c r="L662" s="9"/>
      <c r="M662" s="9"/>
      <c r="N662" s="9"/>
      <c r="O662" s="9"/>
      <c r="P662" s="9"/>
    </row>
    <row r="663" ht="30.0" customHeight="1">
      <c r="A663" s="4" t="s">
        <v>43</v>
      </c>
      <c r="B663" s="8" t="s">
        <v>44</v>
      </c>
      <c r="C663" s="6">
        <v>17233.34</v>
      </c>
      <c r="D663" s="7" t="str">
        <f t="shared" si="57"/>
        <v>Determina n.704 del 05/12/2016</v>
      </c>
      <c r="E663" s="5" t="s">
        <v>857</v>
      </c>
      <c r="F663" s="8" t="s">
        <v>12</v>
      </c>
      <c r="G663" s="8" t="s">
        <v>626</v>
      </c>
      <c r="H663" s="9"/>
      <c r="I663" s="9"/>
      <c r="J663" s="9"/>
      <c r="K663" s="9"/>
      <c r="L663" s="9"/>
      <c r="M663" s="9"/>
      <c r="N663" s="9"/>
      <c r="O663" s="9"/>
      <c r="P663" s="9"/>
    </row>
    <row r="664" ht="30.0" customHeight="1">
      <c r="A664" s="4" t="s">
        <v>17</v>
      </c>
      <c r="B664" s="8" t="s">
        <v>18</v>
      </c>
      <c r="C664" s="6">
        <v>2370.97</v>
      </c>
      <c r="D664" s="7" t="str">
        <f t="shared" si="57"/>
        <v>Determina n.704 del 05/12/2016</v>
      </c>
      <c r="E664" s="5" t="s">
        <v>858</v>
      </c>
      <c r="F664" s="8" t="s">
        <v>12</v>
      </c>
      <c r="G664" s="8" t="s">
        <v>626</v>
      </c>
      <c r="H664" s="9"/>
      <c r="I664" s="9"/>
      <c r="J664" s="9"/>
      <c r="K664" s="9"/>
      <c r="L664" s="9"/>
      <c r="M664" s="9"/>
      <c r="N664" s="9"/>
      <c r="O664" s="9"/>
      <c r="P664" s="9"/>
    </row>
    <row r="665" ht="30.0" customHeight="1">
      <c r="A665" s="4" t="s">
        <v>14</v>
      </c>
      <c r="B665" s="5" t="s">
        <v>15</v>
      </c>
      <c r="C665" s="6">
        <v>19200.0</v>
      </c>
      <c r="D665" s="7" t="str">
        <f t="shared" si="57"/>
        <v>Determina n.704 del 05/12/2016</v>
      </c>
      <c r="E665" s="5" t="s">
        <v>859</v>
      </c>
      <c r="F665" s="8" t="s">
        <v>12</v>
      </c>
      <c r="G665" s="8" t="s">
        <v>626</v>
      </c>
      <c r="H665" s="9"/>
      <c r="I665" s="9"/>
      <c r="J665" s="9"/>
      <c r="K665" s="9"/>
      <c r="L665" s="9"/>
      <c r="M665" s="9"/>
      <c r="N665" s="9"/>
      <c r="O665" s="9"/>
      <c r="P665" s="9"/>
    </row>
    <row r="666" ht="30.0" customHeight="1">
      <c r="A666" s="4" t="s">
        <v>154</v>
      </c>
      <c r="B666" s="8" t="s">
        <v>155</v>
      </c>
      <c r="C666" s="6">
        <v>3600.0</v>
      </c>
      <c r="D666" s="7" t="str">
        <f t="shared" si="57"/>
        <v>Determina n.704 del 05/12/2016</v>
      </c>
      <c r="E666" s="5" t="s">
        <v>860</v>
      </c>
      <c r="F666" s="8" t="s">
        <v>12</v>
      </c>
      <c r="G666" s="8" t="s">
        <v>626</v>
      </c>
      <c r="H666" s="9"/>
      <c r="I666" s="9"/>
      <c r="J666" s="9"/>
      <c r="K666" s="9"/>
      <c r="L666" s="9"/>
      <c r="M666" s="9"/>
      <c r="N666" s="9"/>
      <c r="O666" s="9"/>
      <c r="P666" s="9"/>
    </row>
    <row r="667" ht="30.0" customHeight="1">
      <c r="A667" s="4" t="s">
        <v>59</v>
      </c>
      <c r="B667" s="5" t="s">
        <v>60</v>
      </c>
      <c r="C667" s="6">
        <v>54000.0</v>
      </c>
      <c r="D667" s="7" t="str">
        <f t="shared" si="57"/>
        <v>Determina n.704 del 05/12/2016</v>
      </c>
      <c r="E667" s="5" t="s">
        <v>861</v>
      </c>
      <c r="F667" s="8" t="s">
        <v>12</v>
      </c>
      <c r="G667" s="8" t="s">
        <v>626</v>
      </c>
      <c r="H667" s="9"/>
      <c r="I667" s="9"/>
      <c r="J667" s="9"/>
      <c r="K667" s="9"/>
      <c r="L667" s="9"/>
      <c r="M667" s="9"/>
      <c r="N667" s="9"/>
      <c r="O667" s="9"/>
      <c r="P667" s="9"/>
    </row>
    <row r="668" ht="30.0" customHeight="1">
      <c r="A668" s="4" t="s">
        <v>115</v>
      </c>
      <c r="B668" s="8" t="s">
        <v>116</v>
      </c>
      <c r="C668" s="6">
        <v>14850.0</v>
      </c>
      <c r="D668" s="7" t="str">
        <f t="shared" si="57"/>
        <v>Determina n.704 del 05/12/2016</v>
      </c>
      <c r="E668" s="5" t="s">
        <v>789</v>
      </c>
      <c r="F668" s="8" t="s">
        <v>12</v>
      </c>
      <c r="G668" s="8" t="s">
        <v>626</v>
      </c>
      <c r="H668" s="9"/>
      <c r="I668" s="9"/>
      <c r="J668" s="9"/>
      <c r="K668" s="9"/>
      <c r="L668" s="9"/>
      <c r="M668" s="9"/>
      <c r="N668" s="9"/>
      <c r="O668" s="9"/>
      <c r="P668" s="9"/>
    </row>
    <row r="669" ht="30.0" customHeight="1">
      <c r="A669" s="4" t="s">
        <v>34</v>
      </c>
      <c r="B669" s="8" t="s">
        <v>35</v>
      </c>
      <c r="C669" s="6">
        <v>600.0</v>
      </c>
      <c r="D669" s="7" t="str">
        <f t="shared" si="57"/>
        <v>Determina n.704 del 05/12/2016</v>
      </c>
      <c r="E669" s="5" t="s">
        <v>862</v>
      </c>
      <c r="F669" s="8" t="s">
        <v>12</v>
      </c>
      <c r="G669" s="8" t="s">
        <v>626</v>
      </c>
      <c r="H669" s="9"/>
      <c r="I669" s="9"/>
      <c r="J669" s="9"/>
      <c r="K669" s="9"/>
      <c r="L669" s="9"/>
      <c r="M669" s="9"/>
      <c r="N669" s="9"/>
      <c r="O669" s="9"/>
      <c r="P669" s="9"/>
    </row>
    <row r="670" ht="30.0" customHeight="1">
      <c r="A670" s="4" t="s">
        <v>161</v>
      </c>
      <c r="B670" s="8" t="s">
        <v>162</v>
      </c>
      <c r="C670" s="6">
        <v>12600.0</v>
      </c>
      <c r="D670" s="7" t="str">
        <f t="shared" si="57"/>
        <v>Determina n.704 del 05/12/2016</v>
      </c>
      <c r="E670" s="5" t="s">
        <v>863</v>
      </c>
      <c r="F670" s="8" t="s">
        <v>12</v>
      </c>
      <c r="G670" s="8" t="s">
        <v>626</v>
      </c>
      <c r="H670" s="9"/>
      <c r="I670" s="9"/>
      <c r="J670" s="9"/>
      <c r="K670" s="9"/>
      <c r="L670" s="9"/>
      <c r="M670" s="9"/>
      <c r="N670" s="9"/>
      <c r="O670" s="9"/>
      <c r="P670" s="9"/>
    </row>
    <row r="671" ht="30.0" customHeight="1">
      <c r="A671" s="4" t="s">
        <v>168</v>
      </c>
      <c r="B671" s="8" t="s">
        <v>169</v>
      </c>
      <c r="C671" s="6">
        <v>32400.0</v>
      </c>
      <c r="D671" s="7" t="str">
        <f t="shared" ref="D671:D676" si="58">HYPERLINK("http://www.usrc.it/AppRendiConta/det_705_20161205.pdf","Determina n.705 del 05/12/2016")</f>
        <v>Determina n.705 del 05/12/2016</v>
      </c>
      <c r="E671" s="5" t="s">
        <v>864</v>
      </c>
      <c r="F671" s="8" t="s">
        <v>12</v>
      </c>
      <c r="G671" s="8" t="s">
        <v>626</v>
      </c>
      <c r="H671" s="9"/>
      <c r="I671" s="9"/>
      <c r="J671" s="9"/>
      <c r="K671" s="9"/>
      <c r="L671" s="9"/>
      <c r="M671" s="9"/>
      <c r="N671" s="9"/>
      <c r="O671" s="9"/>
      <c r="P671" s="9"/>
    </row>
    <row r="672" ht="30.0" customHeight="1">
      <c r="A672" s="4" t="s">
        <v>183</v>
      </c>
      <c r="B672" s="5" t="s">
        <v>184</v>
      </c>
      <c r="C672" s="6">
        <v>12800.0</v>
      </c>
      <c r="D672" s="7" t="str">
        <f t="shared" si="58"/>
        <v>Determina n.705 del 05/12/2016</v>
      </c>
      <c r="E672" s="5" t="s">
        <v>865</v>
      </c>
      <c r="F672" s="8" t="s">
        <v>12</v>
      </c>
      <c r="G672" s="8" t="s">
        <v>626</v>
      </c>
      <c r="H672" s="9"/>
      <c r="I672" s="9"/>
      <c r="J672" s="9"/>
      <c r="K672" s="9"/>
      <c r="L672" s="9"/>
      <c r="M672" s="9"/>
      <c r="N672" s="9"/>
      <c r="O672" s="9"/>
      <c r="P672" s="9"/>
    </row>
    <row r="673" ht="30.0" customHeight="1">
      <c r="A673" s="4" t="s">
        <v>186</v>
      </c>
      <c r="B673" s="8" t="s">
        <v>187</v>
      </c>
      <c r="C673" s="6">
        <v>1100.0</v>
      </c>
      <c r="D673" s="7" t="str">
        <f t="shared" si="58"/>
        <v>Determina n.705 del 05/12/2016</v>
      </c>
      <c r="E673" s="5" t="s">
        <v>862</v>
      </c>
      <c r="F673" s="8" t="s">
        <v>12</v>
      </c>
      <c r="G673" s="8" t="s">
        <v>626</v>
      </c>
      <c r="H673" s="9"/>
      <c r="I673" s="9"/>
      <c r="J673" s="9"/>
      <c r="K673" s="9"/>
      <c r="L673" s="9"/>
      <c r="M673" s="9"/>
      <c r="N673" s="9"/>
      <c r="O673" s="9"/>
      <c r="P673" s="9"/>
    </row>
    <row r="674" ht="30.0" customHeight="1">
      <c r="A674" s="4" t="s">
        <v>483</v>
      </c>
      <c r="B674" s="8" t="s">
        <v>484</v>
      </c>
      <c r="C674" s="6">
        <v>21893.55</v>
      </c>
      <c r="D674" s="7" t="str">
        <f t="shared" si="58"/>
        <v>Determina n.705 del 05/12/2016</v>
      </c>
      <c r="E674" s="5" t="s">
        <v>866</v>
      </c>
      <c r="F674" s="8" t="s">
        <v>12</v>
      </c>
      <c r="G674" s="8" t="s">
        <v>626</v>
      </c>
      <c r="H674" s="9"/>
      <c r="I674" s="9"/>
      <c r="J674" s="9"/>
      <c r="K674" s="9"/>
      <c r="L674" s="9"/>
      <c r="M674" s="9"/>
      <c r="N674" s="9"/>
      <c r="O674" s="9"/>
      <c r="P674" s="9"/>
    </row>
    <row r="675" ht="30.0" customHeight="1">
      <c r="A675" s="4" t="s">
        <v>195</v>
      </c>
      <c r="B675" s="8" t="s">
        <v>196</v>
      </c>
      <c r="C675" s="6">
        <v>4000.0</v>
      </c>
      <c r="D675" s="7" t="str">
        <f t="shared" si="58"/>
        <v>Determina n.705 del 05/12/2016</v>
      </c>
      <c r="E675" s="5" t="s">
        <v>867</v>
      </c>
      <c r="F675" s="8" t="s">
        <v>12</v>
      </c>
      <c r="G675" s="8" t="s">
        <v>626</v>
      </c>
      <c r="H675" s="9"/>
      <c r="I675" s="9"/>
      <c r="J675" s="9"/>
      <c r="K675" s="9"/>
      <c r="L675" s="9"/>
      <c r="M675" s="9"/>
      <c r="N675" s="9"/>
      <c r="O675" s="9"/>
      <c r="P675" s="9"/>
    </row>
    <row r="676" ht="30.0" customHeight="1">
      <c r="A676" s="4" t="s">
        <v>197</v>
      </c>
      <c r="B676" s="14" t="s">
        <v>198</v>
      </c>
      <c r="C676" s="6">
        <v>10500.0</v>
      </c>
      <c r="D676" s="7" t="str">
        <f t="shared" si="58"/>
        <v>Determina n.705 del 05/12/2016</v>
      </c>
      <c r="E676" s="5" t="s">
        <v>867</v>
      </c>
      <c r="F676" s="8" t="s">
        <v>12</v>
      </c>
      <c r="G676" s="8" t="s">
        <v>626</v>
      </c>
      <c r="H676" s="9"/>
      <c r="I676" s="9"/>
      <c r="J676" s="9"/>
      <c r="K676" s="9"/>
      <c r="L676" s="9"/>
      <c r="M676" s="9"/>
      <c r="N676" s="9"/>
      <c r="O676" s="9"/>
      <c r="P676" s="9"/>
    </row>
    <row r="677" ht="30.0" customHeight="1">
      <c r="A677" s="4" t="s">
        <v>80</v>
      </c>
      <c r="B677" s="14" t="s">
        <v>81</v>
      </c>
      <c r="C677" s="6">
        <v>46629.85</v>
      </c>
      <c r="D677" s="7" t="str">
        <f>HYPERLINK("http://www.usrc.it/AppRendiConta/det_706_20161205.pdf","Determina n.706 del 05/12/2016")</f>
        <v>Determina n.706 del 05/12/2016</v>
      </c>
      <c r="E677" s="5" t="s">
        <v>868</v>
      </c>
      <c r="F677" s="8" t="s">
        <v>12</v>
      </c>
      <c r="G677" s="8" t="s">
        <v>529</v>
      </c>
      <c r="H677" s="9"/>
      <c r="I677" s="9"/>
      <c r="J677" s="9"/>
      <c r="K677" s="9"/>
      <c r="L677" s="9"/>
      <c r="M677" s="9"/>
      <c r="N677" s="9"/>
      <c r="O677" s="9"/>
      <c r="P677" s="9"/>
    </row>
    <row r="678" ht="30.0" customHeight="1">
      <c r="A678" s="4" t="s">
        <v>368</v>
      </c>
      <c r="B678" s="14" t="s">
        <v>214</v>
      </c>
      <c r="C678" s="6">
        <v>3326715.2</v>
      </c>
      <c r="D678" s="7" t="str">
        <f>HYPERLINK("http://www.usrc.it/AppRendiConta/det_710_20161206.pdf","Determina n.710 del 06/12/2016")</f>
        <v>Determina n.710 del 06/12/2016</v>
      </c>
      <c r="E678" s="5" t="s">
        <v>869</v>
      </c>
      <c r="F678" s="8" t="s">
        <v>12</v>
      </c>
      <c r="G678" s="8" t="s">
        <v>840</v>
      </c>
      <c r="H678" s="9"/>
      <c r="I678" s="9"/>
      <c r="J678" s="9"/>
      <c r="K678" s="9"/>
      <c r="L678" s="9"/>
      <c r="M678" s="9"/>
      <c r="N678" s="9"/>
      <c r="O678" s="9"/>
      <c r="P678" s="9"/>
    </row>
    <row r="679" ht="30.0" customHeight="1">
      <c r="A679" s="4" t="s">
        <v>126</v>
      </c>
      <c r="B679" s="8" t="s">
        <v>127</v>
      </c>
      <c r="C679" s="6">
        <v>187446.59</v>
      </c>
      <c r="D679" s="7" t="str">
        <f>HYPERLINK("http://www.usrc.it/AppRendiConta/det_711_20161206.pdf","Determina n.711 del 06/12/2016")</f>
        <v>Determina n.711 del 06/12/2016</v>
      </c>
      <c r="E679" s="5" t="s">
        <v>870</v>
      </c>
      <c r="F679" s="8" t="s">
        <v>12</v>
      </c>
      <c r="G679" s="8" t="s">
        <v>67</v>
      </c>
      <c r="H679" s="9"/>
      <c r="I679" s="9"/>
      <c r="J679" s="9"/>
      <c r="K679" s="9"/>
      <c r="L679" s="9"/>
      <c r="M679" s="9"/>
      <c r="N679" s="9"/>
      <c r="O679" s="9"/>
      <c r="P679" s="9"/>
    </row>
    <row r="680" ht="30.0" customHeight="1">
      <c r="A680" s="4" t="s">
        <v>43</v>
      </c>
      <c r="B680" s="8" t="s">
        <v>44</v>
      </c>
      <c r="C680" s="6">
        <v>1372778.14</v>
      </c>
      <c r="D680" s="7" t="str">
        <f>HYPERLINK("http://www.usrc.it/AppRendiConta/det_712_20161206.pdf","Determina n.712 del 06/12/2016")</f>
        <v>Determina n.712 del 06/12/2016</v>
      </c>
      <c r="E680" s="5" t="s">
        <v>871</v>
      </c>
      <c r="F680" s="8" t="s">
        <v>12</v>
      </c>
      <c r="G680" s="8" t="s">
        <v>872</v>
      </c>
      <c r="H680" s="9"/>
      <c r="I680" s="9"/>
      <c r="J680" s="9"/>
      <c r="K680" s="9"/>
      <c r="L680" s="9"/>
      <c r="M680" s="9"/>
      <c r="N680" s="9"/>
      <c r="O680" s="9"/>
      <c r="P680" s="9"/>
    </row>
    <row r="681" ht="30.0" customHeight="1">
      <c r="A681" s="4" t="s">
        <v>135</v>
      </c>
      <c r="B681" s="5" t="s">
        <v>136</v>
      </c>
      <c r="C681" s="6">
        <v>3920141.24</v>
      </c>
      <c r="D681" s="7" t="str">
        <f>HYPERLINK("http://www.usrc.it/AppRendiConta/det_713_20161206.pdf","Determina n.713 del 06/12/2016")</f>
        <v>Determina n.713 del 06/12/2016</v>
      </c>
      <c r="E681" s="5" t="s">
        <v>873</v>
      </c>
      <c r="F681" s="8" t="s">
        <v>12</v>
      </c>
      <c r="G681" s="8" t="s">
        <v>872</v>
      </c>
      <c r="H681" s="9"/>
      <c r="I681" s="9"/>
      <c r="J681" s="9"/>
      <c r="K681" s="9"/>
      <c r="L681" s="9"/>
      <c r="M681" s="9"/>
      <c r="N681" s="9"/>
      <c r="O681" s="9"/>
      <c r="P681" s="9"/>
    </row>
    <row r="682" ht="30.0" customHeight="1">
      <c r="A682" s="4" t="s">
        <v>131</v>
      </c>
      <c r="B682" s="5" t="s">
        <v>132</v>
      </c>
      <c r="C682" s="6">
        <v>32028.58</v>
      </c>
      <c r="D682" s="7" t="str">
        <f>HYPERLINK("http://www.usrc.it/AppRendiConta/det_714_20161206.pdf","Determina n.714 del 06/12/2016")</f>
        <v>Determina n.714 del 06/12/2016</v>
      </c>
      <c r="E682" s="5" t="s">
        <v>874</v>
      </c>
      <c r="F682" s="8" t="s">
        <v>12</v>
      </c>
      <c r="G682" s="8" t="s">
        <v>67</v>
      </c>
      <c r="H682" s="9"/>
      <c r="I682" s="9"/>
      <c r="J682" s="9"/>
      <c r="K682" s="9"/>
      <c r="L682" s="9"/>
      <c r="M682" s="9"/>
      <c r="N682" s="9"/>
      <c r="O682" s="9"/>
      <c r="P682" s="9"/>
    </row>
    <row r="683" ht="30.0" customHeight="1">
      <c r="A683" s="4" t="s">
        <v>289</v>
      </c>
      <c r="B683" s="5" t="s">
        <v>290</v>
      </c>
      <c r="C683" s="6">
        <v>80000.0</v>
      </c>
      <c r="D683" s="7" t="str">
        <f>HYPERLINK("http://www.usrc.it/AppRendiConta/det_715_20161206.pdf","Determina n.715 del 06/12/2016")</f>
        <v>Determina n.715 del 06/12/2016</v>
      </c>
      <c r="E683" s="5" t="s">
        <v>875</v>
      </c>
      <c r="F683" s="8" t="s">
        <v>12</v>
      </c>
      <c r="G683" s="8" t="s">
        <v>67</v>
      </c>
      <c r="H683" s="9"/>
      <c r="I683" s="9"/>
      <c r="J683" s="9"/>
      <c r="K683" s="9"/>
      <c r="L683" s="9"/>
      <c r="M683" s="9"/>
      <c r="N683" s="9"/>
      <c r="O683" s="9"/>
      <c r="P683" s="9"/>
    </row>
    <row r="684" ht="30.0" customHeight="1">
      <c r="A684" s="4" t="s">
        <v>14</v>
      </c>
      <c r="B684" s="5" t="s">
        <v>15</v>
      </c>
      <c r="C684" s="6">
        <v>225.0</v>
      </c>
      <c r="D684" s="7" t="str">
        <f>HYPERLINK("http://www.usrc.it/AppRendiConta/det_716_20161206.pdf","Determina n.716 del 06/12/2016")</f>
        <v>Determina n.716 del 06/12/2016</v>
      </c>
      <c r="E684" s="5" t="s">
        <v>876</v>
      </c>
      <c r="F684" s="8" t="s">
        <v>12</v>
      </c>
      <c r="G684" s="8" t="s">
        <v>67</v>
      </c>
      <c r="H684" s="9"/>
      <c r="I684" s="9"/>
      <c r="J684" s="9"/>
      <c r="K684" s="9"/>
      <c r="L684" s="9"/>
      <c r="M684" s="9"/>
      <c r="N684" s="9"/>
      <c r="O684" s="9"/>
      <c r="P684" s="9"/>
    </row>
    <row r="685" ht="30.0" customHeight="1">
      <c r="A685" s="4" t="s">
        <v>59</v>
      </c>
      <c r="B685" s="5" t="s">
        <v>60</v>
      </c>
      <c r="C685" s="6">
        <v>56032.34</v>
      </c>
      <c r="D685" s="7" t="str">
        <f>HYPERLINK("http://www.usrc.it/AppRendiConta/det_717_20161206.pdf","Determina n.717 del 06/12/2016")</f>
        <v>Determina n.717 del 06/12/2016</v>
      </c>
      <c r="E685" s="5" t="s">
        <v>877</v>
      </c>
      <c r="F685" s="8" t="s">
        <v>12</v>
      </c>
      <c r="G685" s="8" t="s">
        <v>30</v>
      </c>
      <c r="H685" s="9"/>
      <c r="I685" s="9"/>
      <c r="J685" s="9"/>
      <c r="K685" s="9"/>
      <c r="L685" s="9"/>
      <c r="M685" s="9"/>
      <c r="N685" s="9"/>
      <c r="O685" s="9"/>
      <c r="P685" s="9"/>
    </row>
    <row r="686" ht="30.0" customHeight="1">
      <c r="A686" s="4" t="s">
        <v>14</v>
      </c>
      <c r="B686" s="5" t="s">
        <v>15</v>
      </c>
      <c r="C686" s="6">
        <v>69171.19</v>
      </c>
      <c r="D686" s="7" t="str">
        <f>HYPERLINK("http://www.usrc.it/AppRendiConta/det_719_20161206.pdf","Determina n.719 del 06/12/2016")</f>
        <v>Determina n.719 del 06/12/2016</v>
      </c>
      <c r="E686" s="5" t="s">
        <v>878</v>
      </c>
      <c r="F686" s="8" t="s">
        <v>12</v>
      </c>
      <c r="G686" s="8" t="s">
        <v>67</v>
      </c>
      <c r="H686" s="9"/>
      <c r="I686" s="9"/>
      <c r="J686" s="9"/>
      <c r="K686" s="9"/>
      <c r="L686" s="9"/>
      <c r="M686" s="9"/>
      <c r="N686" s="9"/>
      <c r="O686" s="9"/>
      <c r="P686" s="9"/>
    </row>
    <row r="687" ht="30.0" customHeight="1">
      <c r="A687" s="4" t="s">
        <v>692</v>
      </c>
      <c r="B687" s="5" t="s">
        <v>693</v>
      </c>
      <c r="C687" s="6">
        <v>327245.59</v>
      </c>
      <c r="D687" s="7" t="str">
        <f>HYPERLINK("http://www.usrc.it/AppRendiConta/det_720_20161206.pdf","Determina n.720 del 06/12/2016")</f>
        <v>Determina n.720 del 06/12/2016</v>
      </c>
      <c r="E687" s="5" t="s">
        <v>879</v>
      </c>
      <c r="F687" s="8" t="s">
        <v>12</v>
      </c>
      <c r="G687" s="8" t="s">
        <v>880</v>
      </c>
      <c r="H687" s="9"/>
      <c r="I687" s="9"/>
      <c r="J687" s="9"/>
      <c r="K687" s="9"/>
      <c r="L687" s="9"/>
      <c r="M687" s="9"/>
      <c r="N687" s="9"/>
      <c r="O687" s="9"/>
      <c r="P687" s="9"/>
    </row>
    <row r="688" ht="30.0" customHeight="1">
      <c r="A688" s="4" t="s">
        <v>275</v>
      </c>
      <c r="B688" s="5" t="s">
        <v>276</v>
      </c>
      <c r="C688" s="6">
        <v>291514.02</v>
      </c>
      <c r="D688" s="7" t="str">
        <f>HYPERLINK("http://www.usrc.it/AppRendiConta/det_721_20161206.pdf","Determina n.721 del 06/12/2016")</f>
        <v>Determina n.721 del 06/12/2016</v>
      </c>
      <c r="E688" s="5" t="s">
        <v>881</v>
      </c>
      <c r="F688" s="8" t="s">
        <v>12</v>
      </c>
      <c r="G688" s="8" t="s">
        <v>529</v>
      </c>
      <c r="H688" s="9"/>
      <c r="I688" s="9"/>
      <c r="J688" s="9"/>
      <c r="K688" s="9"/>
      <c r="L688" s="9"/>
      <c r="M688" s="9"/>
      <c r="N688" s="9"/>
      <c r="O688" s="9"/>
      <c r="P688" s="9"/>
    </row>
    <row r="689" ht="30.0" customHeight="1">
      <c r="A689" s="4" t="s">
        <v>148</v>
      </c>
      <c r="B689" s="5" t="s">
        <v>149</v>
      </c>
      <c r="C689" s="6">
        <v>1084833.83</v>
      </c>
      <c r="D689" s="7" t="str">
        <f>HYPERLINK("http://www.usrc.it/AppRendiConta/det_722_20161212.pdf","Determina n.722 del 12/12/2016")</f>
        <v>Determina n.722 del 12/12/2016</v>
      </c>
      <c r="E689" s="5" t="s">
        <v>882</v>
      </c>
      <c r="F689" s="8" t="s">
        <v>12</v>
      </c>
      <c r="G689" s="8" t="s">
        <v>872</v>
      </c>
      <c r="H689" s="9"/>
      <c r="I689" s="9"/>
      <c r="J689" s="9"/>
      <c r="K689" s="9"/>
      <c r="L689" s="9"/>
      <c r="M689" s="9"/>
      <c r="N689" s="9"/>
      <c r="O689" s="9"/>
      <c r="P689" s="9"/>
    </row>
    <row r="690" ht="30.0" customHeight="1">
      <c r="A690" s="4" t="s">
        <v>165</v>
      </c>
      <c r="B690" s="5" t="s">
        <v>166</v>
      </c>
      <c r="C690" s="6">
        <v>55094.24</v>
      </c>
      <c r="D690" s="7" t="str">
        <f>HYPERLINK("http://www.usrc.it/AppRendiConta/det_723_20161212.pdf","Determina n.723 del 12/12/2016")</f>
        <v>Determina n.723 del 12/12/2016</v>
      </c>
      <c r="E690" s="5" t="s">
        <v>883</v>
      </c>
      <c r="F690" s="8" t="s">
        <v>12</v>
      </c>
      <c r="G690" s="8" t="s">
        <v>529</v>
      </c>
      <c r="H690" s="9"/>
      <c r="I690" s="9"/>
      <c r="J690" s="9"/>
      <c r="K690" s="9"/>
      <c r="L690" s="9"/>
      <c r="M690" s="9"/>
      <c r="N690" s="9"/>
      <c r="O690" s="9"/>
      <c r="P690" s="9"/>
    </row>
    <row r="691" ht="30.0" customHeight="1">
      <c r="A691" s="4" t="s">
        <v>14</v>
      </c>
      <c r="B691" s="5" t="s">
        <v>15</v>
      </c>
      <c r="C691" s="6">
        <v>15022.65</v>
      </c>
      <c r="D691" s="7" t="str">
        <f>HYPERLINK("http://www.usrc.it/AppRendiConta/det_724_20161212.pdf","Determina n.724 del 12/12/2016")</f>
        <v>Determina n.724 del 12/12/2016</v>
      </c>
      <c r="E691" s="5" t="s">
        <v>884</v>
      </c>
      <c r="F691" s="8" t="s">
        <v>12</v>
      </c>
      <c r="G691" s="8" t="s">
        <v>626</v>
      </c>
      <c r="H691" s="9"/>
      <c r="I691" s="9"/>
      <c r="J691" s="9"/>
      <c r="K691" s="9"/>
      <c r="L691" s="9"/>
      <c r="M691" s="9"/>
      <c r="N691" s="9"/>
      <c r="O691" s="9"/>
      <c r="P691" s="9"/>
    </row>
    <row r="692" ht="30.0" customHeight="1">
      <c r="A692" s="4" t="s">
        <v>31</v>
      </c>
      <c r="B692" s="5" t="s">
        <v>32</v>
      </c>
      <c r="C692" s="6">
        <v>189912.84</v>
      </c>
      <c r="D692" s="7" t="str">
        <f>HYPERLINK("http://www.usrc.it/AppRendiConta/det_726_20161212.pdf","Determina n.726 del 12/12/2016")</f>
        <v>Determina n.726 del 12/12/2016</v>
      </c>
      <c r="E692" s="5" t="s">
        <v>885</v>
      </c>
      <c r="F692" s="8" t="s">
        <v>12</v>
      </c>
      <c r="G692" s="8" t="s">
        <v>67</v>
      </c>
      <c r="H692" s="9"/>
      <c r="I692" s="9"/>
      <c r="J692" s="9"/>
      <c r="K692" s="9"/>
      <c r="L692" s="9"/>
      <c r="M692" s="9"/>
      <c r="N692" s="9"/>
      <c r="O692" s="9"/>
      <c r="P692" s="9"/>
    </row>
    <row r="693" ht="30.0" customHeight="1">
      <c r="A693" s="4" t="s">
        <v>34</v>
      </c>
      <c r="B693" s="5" t="s">
        <v>35</v>
      </c>
      <c r="C693" s="6">
        <v>31350.0</v>
      </c>
      <c r="D693" s="7" t="str">
        <f>HYPERLINK("http://www.usrc.it/AppRendiConta/det_727_20161213.pdf","Determina n.727 del 13/12/2016")</f>
        <v>Determina n.727 del 13/12/2016</v>
      </c>
      <c r="E693" s="5" t="s">
        <v>886</v>
      </c>
      <c r="F693" s="8" t="s">
        <v>12</v>
      </c>
      <c r="G693" s="8" t="s">
        <v>626</v>
      </c>
      <c r="H693" s="9"/>
      <c r="I693" s="9"/>
      <c r="J693" s="9"/>
      <c r="K693" s="9"/>
      <c r="L693" s="9"/>
      <c r="M693" s="9"/>
      <c r="N693" s="9"/>
      <c r="O693" s="9"/>
      <c r="P693" s="9"/>
    </row>
    <row r="694" ht="30.0" customHeight="1">
      <c r="A694" s="4" t="s">
        <v>195</v>
      </c>
      <c r="B694" s="5" t="s">
        <v>196</v>
      </c>
      <c r="C694" s="6">
        <v>61715.52</v>
      </c>
      <c r="D694" s="7" t="str">
        <f>HYPERLINK("http://www.usrc.it/AppRendiConta/det_729_20161214.pdf","Determina n.729 del 14/12/2016")</f>
        <v>Determina n.729 del 14/12/2016</v>
      </c>
      <c r="E694" s="5" t="s">
        <v>751</v>
      </c>
      <c r="F694" s="8" t="s">
        <v>12</v>
      </c>
      <c r="G694" s="8" t="s">
        <v>529</v>
      </c>
      <c r="H694" s="9"/>
      <c r="I694" s="9"/>
      <c r="J694" s="9"/>
      <c r="K694" s="9"/>
      <c r="L694" s="9"/>
      <c r="M694" s="9"/>
      <c r="N694" s="9"/>
      <c r="O694" s="9"/>
      <c r="P694" s="9"/>
    </row>
    <row r="695" ht="30.0" customHeight="1">
      <c r="A695" s="4" t="s">
        <v>761</v>
      </c>
      <c r="B695" s="5" t="s">
        <v>762</v>
      </c>
      <c r="C695" s="6">
        <v>368060.37</v>
      </c>
      <c r="D695" s="7" t="str">
        <f>HYPERLINK("http://www.usrc.it/AppRendiConta/det_731_20161214.pdf","Determina n.731 del 14/12/2016")</f>
        <v>Determina n.731 del 14/12/2016</v>
      </c>
      <c r="E695" s="5" t="s">
        <v>887</v>
      </c>
      <c r="F695" s="8" t="s">
        <v>12</v>
      </c>
      <c r="G695" s="8" t="s">
        <v>529</v>
      </c>
      <c r="H695" s="9"/>
      <c r="I695" s="9"/>
      <c r="J695" s="9"/>
      <c r="K695" s="9"/>
      <c r="L695" s="9"/>
      <c r="M695" s="9"/>
      <c r="N695" s="9"/>
      <c r="O695" s="9"/>
      <c r="P695" s="9"/>
    </row>
    <row r="696" ht="30.0" customHeight="1">
      <c r="A696" s="4" t="s">
        <v>26</v>
      </c>
      <c r="B696" s="5" t="s">
        <v>27</v>
      </c>
      <c r="C696" s="6">
        <v>80364.11</v>
      </c>
      <c r="D696" s="7" t="str">
        <f>HYPERLINK("http://www.usrc.it/AppRendiConta/det_735_20161214.pdf","Determina n.735 del 14/12/2016")</f>
        <v>Determina n.735 del 14/12/2016</v>
      </c>
      <c r="E696" s="5" t="s">
        <v>888</v>
      </c>
      <c r="F696" s="8" t="s">
        <v>12</v>
      </c>
      <c r="G696" s="8" t="s">
        <v>67</v>
      </c>
      <c r="H696" s="9"/>
      <c r="I696" s="9"/>
      <c r="J696" s="9"/>
      <c r="K696" s="9"/>
      <c r="L696" s="9"/>
      <c r="M696" s="9"/>
      <c r="N696" s="9"/>
      <c r="O696" s="9"/>
      <c r="P696" s="9"/>
    </row>
    <row r="697" ht="30.0" customHeight="1">
      <c r="A697" s="4" t="s">
        <v>241</v>
      </c>
      <c r="B697" s="5" t="s">
        <v>242</v>
      </c>
      <c r="C697" s="6">
        <v>168720.2</v>
      </c>
      <c r="D697" s="7" t="str">
        <f>HYPERLINK("http://www.usrc.it/AppRendiConta/det_737_20161214.pdf","Determina n.737 del 14/12/2016")</f>
        <v>Determina n.737 del 14/12/2016</v>
      </c>
      <c r="E697" s="5" t="s">
        <v>889</v>
      </c>
      <c r="F697" s="8" t="s">
        <v>12</v>
      </c>
      <c r="G697" s="8" t="s">
        <v>626</v>
      </c>
      <c r="H697" s="9"/>
      <c r="I697" s="9"/>
      <c r="J697" s="9"/>
      <c r="K697" s="9"/>
      <c r="L697" s="9"/>
      <c r="M697" s="9"/>
      <c r="N697" s="9"/>
      <c r="O697" s="9"/>
      <c r="P697" s="9"/>
    </row>
    <row r="698" ht="30.0" customHeight="1">
      <c r="A698" s="4" t="s">
        <v>68</v>
      </c>
      <c r="B698" s="5" t="s">
        <v>69</v>
      </c>
      <c r="C698" s="6">
        <v>430704.38</v>
      </c>
      <c r="D698" s="7" t="str">
        <f>HYPERLINK("http://www.usrc.it/AppRendiConta/det_740_20161216.pdf","Determina n.740 del 16/12/2016")</f>
        <v>Determina n.740 del 16/12/2016</v>
      </c>
      <c r="E698" s="5" t="s">
        <v>890</v>
      </c>
      <c r="F698" s="8" t="s">
        <v>12</v>
      </c>
      <c r="G698" s="8" t="s">
        <v>872</v>
      </c>
      <c r="H698" s="9"/>
      <c r="I698" s="9"/>
      <c r="J698" s="9"/>
      <c r="K698" s="9"/>
      <c r="L698" s="9"/>
      <c r="M698" s="9"/>
      <c r="N698" s="9"/>
      <c r="O698" s="9"/>
      <c r="P698" s="9"/>
    </row>
    <row r="699" ht="30.0" customHeight="1">
      <c r="A699" s="4" t="s">
        <v>891</v>
      </c>
      <c r="B699" s="5" t="s">
        <v>892</v>
      </c>
      <c r="C699" s="6">
        <v>329045.02</v>
      </c>
      <c r="D699" s="7" t="str">
        <f t="shared" ref="D699:D701" si="59">HYPERLINK("http://www.usrc.it/AppRendiConta/det_747_20161219.pdf","Determina n.747 del 19/12/2016")</f>
        <v>Determina n.747 del 19/12/2016</v>
      </c>
      <c r="E699" s="5" t="s">
        <v>893</v>
      </c>
      <c r="F699" s="8" t="s">
        <v>12</v>
      </c>
      <c r="G699" s="8" t="s">
        <v>894</v>
      </c>
      <c r="H699" s="9"/>
      <c r="I699" s="9"/>
      <c r="J699" s="9"/>
      <c r="K699" s="9"/>
      <c r="L699" s="9"/>
      <c r="M699" s="9"/>
      <c r="N699" s="9"/>
      <c r="O699" s="9"/>
      <c r="P699" s="9"/>
    </row>
    <row r="700" ht="30.0" customHeight="1">
      <c r="A700" s="4" t="s">
        <v>895</v>
      </c>
      <c r="B700" s="5" t="s">
        <v>896</v>
      </c>
      <c r="C700" s="6">
        <v>460000.0</v>
      </c>
      <c r="D700" s="7" t="str">
        <f t="shared" si="59"/>
        <v>Determina n.747 del 19/12/2016</v>
      </c>
      <c r="E700" s="5" t="s">
        <v>893</v>
      </c>
      <c r="F700" s="8" t="s">
        <v>12</v>
      </c>
      <c r="G700" s="8" t="s">
        <v>894</v>
      </c>
      <c r="H700" s="9"/>
      <c r="I700" s="9"/>
      <c r="J700" s="9"/>
      <c r="K700" s="9"/>
      <c r="L700" s="9"/>
      <c r="M700" s="9"/>
      <c r="N700" s="9"/>
      <c r="O700" s="9"/>
      <c r="P700" s="9"/>
    </row>
    <row r="701" ht="30.0" customHeight="1">
      <c r="A701" s="4" t="s">
        <v>897</v>
      </c>
      <c r="B701" s="5" t="s">
        <v>898</v>
      </c>
      <c r="C701" s="6">
        <v>2829373.09</v>
      </c>
      <c r="D701" s="7" t="str">
        <f t="shared" si="59"/>
        <v>Determina n.747 del 19/12/2016</v>
      </c>
      <c r="E701" s="5" t="s">
        <v>893</v>
      </c>
      <c r="F701" s="8" t="s">
        <v>12</v>
      </c>
      <c r="G701" s="8" t="s">
        <v>894</v>
      </c>
      <c r="H701" s="9"/>
      <c r="I701" s="9"/>
      <c r="J701" s="9"/>
      <c r="K701" s="9"/>
      <c r="L701" s="9"/>
      <c r="M701" s="9"/>
      <c r="N701" s="9"/>
      <c r="O701" s="9"/>
      <c r="P701" s="9"/>
    </row>
    <row r="702" ht="30.0" customHeight="1">
      <c r="A702" s="4" t="s">
        <v>95</v>
      </c>
      <c r="B702" s="5" t="s">
        <v>96</v>
      </c>
      <c r="C702" s="6">
        <v>86451.18</v>
      </c>
      <c r="D702" s="7" t="str">
        <f>HYPERLINK("http://www.usrc.it/AppRendiConta/det_751_20161219.pdf","Determina n.751 del 19/12/2016")</f>
        <v>Determina n.751 del 19/12/2016</v>
      </c>
      <c r="E702" s="5" t="s">
        <v>899</v>
      </c>
      <c r="F702" s="8" t="s">
        <v>12</v>
      </c>
      <c r="G702" s="8" t="s">
        <v>529</v>
      </c>
      <c r="H702" s="9"/>
      <c r="I702" s="9"/>
      <c r="J702" s="9"/>
      <c r="K702" s="9"/>
      <c r="L702" s="9"/>
      <c r="M702" s="9"/>
      <c r="N702" s="9"/>
      <c r="O702" s="9"/>
      <c r="P702" s="9"/>
    </row>
    <row r="703" ht="30.0" customHeight="1">
      <c r="A703" s="4" t="s">
        <v>900</v>
      </c>
      <c r="B703" s="5" t="s">
        <v>901</v>
      </c>
      <c r="C703" s="6">
        <v>13538.0</v>
      </c>
      <c r="D703" s="15" t="str">
        <f>HYPERLINK("http://www.usrc.it/AppRendiConta/det_754_20161220.pdf","Determina n.754 del 20/12/2016")</f>
        <v>Determina n.754 del 20/12/2016</v>
      </c>
      <c r="E703" s="5" t="s">
        <v>902</v>
      </c>
      <c r="F703" s="8" t="s">
        <v>12</v>
      </c>
      <c r="G703" s="8" t="s">
        <v>85</v>
      </c>
      <c r="H703" s="9"/>
      <c r="I703" s="9"/>
      <c r="J703" s="9"/>
      <c r="K703" s="9"/>
      <c r="L703" s="9"/>
      <c r="M703" s="9"/>
      <c r="N703" s="9"/>
      <c r="O703" s="9"/>
      <c r="P703" s="9"/>
    </row>
    <row r="704" ht="30.0" customHeight="1">
      <c r="A704" s="4" t="s">
        <v>262</v>
      </c>
      <c r="B704" s="5" t="s">
        <v>263</v>
      </c>
      <c r="C704" s="6">
        <v>185663.69</v>
      </c>
      <c r="D704" s="15" t="str">
        <f>HYPERLINK("http://www.usrc.it/AppRendiConta/det_755_20161220.pdf","Determina n.755 del 20/12/2016")</f>
        <v>Determina n.755 del 20/12/2016</v>
      </c>
      <c r="E704" s="5" t="s">
        <v>903</v>
      </c>
      <c r="F704" s="8" t="s">
        <v>12</v>
      </c>
      <c r="G704" s="8" t="s">
        <v>529</v>
      </c>
      <c r="H704" s="9"/>
      <c r="I704" s="9"/>
      <c r="J704" s="9"/>
      <c r="K704" s="9"/>
      <c r="L704" s="9"/>
      <c r="M704" s="9"/>
      <c r="N704" s="9"/>
      <c r="O704" s="9"/>
      <c r="P704" s="9"/>
    </row>
    <row r="705" ht="30.0" customHeight="1">
      <c r="A705" s="4" t="s">
        <v>59</v>
      </c>
      <c r="B705" s="5" t="s">
        <v>60</v>
      </c>
      <c r="C705" s="6">
        <v>5786.43</v>
      </c>
      <c r="D705" s="15" t="str">
        <f>HYPERLINK("http://www.usrc.it/AppRendiConta/det_756_20161220.pdf","Determina n.756 del 20/12/2016")</f>
        <v>Determina n.756 del 20/12/2016</v>
      </c>
      <c r="E705" s="5" t="s">
        <v>904</v>
      </c>
      <c r="F705" s="8" t="s">
        <v>12</v>
      </c>
      <c r="G705" s="8" t="s">
        <v>67</v>
      </c>
      <c r="H705" s="9"/>
      <c r="I705" s="9"/>
      <c r="J705" s="9"/>
      <c r="K705" s="9"/>
      <c r="L705" s="9"/>
      <c r="M705" s="9"/>
      <c r="N705" s="9"/>
      <c r="O705" s="9"/>
      <c r="P705" s="9"/>
    </row>
    <row r="706" ht="30.0" customHeight="1">
      <c r="A706" s="4" t="s">
        <v>112</v>
      </c>
      <c r="B706" s="5" t="s">
        <v>113</v>
      </c>
      <c r="C706" s="6">
        <v>31050.33</v>
      </c>
      <c r="D706" s="15" t="str">
        <f>HYPERLINK("http://www.usrc.it/AppRendiConta/det_757_20161220.pdf","Determina n.757 del 20/12/2016")</f>
        <v>Determina n.757 del 20/12/2016</v>
      </c>
      <c r="E706" s="5" t="s">
        <v>905</v>
      </c>
      <c r="F706" s="8" t="s">
        <v>12</v>
      </c>
      <c r="G706" s="8" t="s">
        <v>67</v>
      </c>
      <c r="H706" s="9"/>
      <c r="I706" s="9"/>
      <c r="J706" s="9"/>
      <c r="K706" s="9"/>
      <c r="L706" s="9"/>
      <c r="M706" s="9"/>
      <c r="N706" s="9"/>
      <c r="O706" s="9"/>
      <c r="P706" s="9"/>
    </row>
    <row r="707" ht="30.0" customHeight="1">
      <c r="A707" s="4" t="s">
        <v>112</v>
      </c>
      <c r="B707" s="5" t="s">
        <v>113</v>
      </c>
      <c r="C707" s="6">
        <v>20892.8</v>
      </c>
      <c r="D707" s="15" t="str">
        <f>HYPERLINK("http://www.usrc.it/AppRendiConta/det_758_20161220.pdf","Determina n.758 del 20/12/2016")</f>
        <v>Determina n.758 del 20/12/2016</v>
      </c>
      <c r="E707" s="5" t="s">
        <v>906</v>
      </c>
      <c r="F707" s="8" t="s">
        <v>12</v>
      </c>
      <c r="G707" s="8" t="s">
        <v>67</v>
      </c>
      <c r="H707" s="9"/>
      <c r="I707" s="9"/>
      <c r="J707" s="9"/>
      <c r="K707" s="9"/>
      <c r="L707" s="9"/>
      <c r="M707" s="9"/>
      <c r="N707" s="9"/>
      <c r="O707" s="9"/>
      <c r="P707" s="9"/>
    </row>
    <row r="708" ht="30.0" customHeight="1">
      <c r="A708" s="4" t="s">
        <v>241</v>
      </c>
      <c r="B708" s="5" t="s">
        <v>242</v>
      </c>
      <c r="C708" s="6">
        <v>8703002.05</v>
      </c>
      <c r="D708" s="7" t="str">
        <f>HYPERLINK("http://www.usrc.it/AppRendiConta/det_759_20161221.pdf","Determina n.759 del 21/12/2016")</f>
        <v>Determina n.759 del 21/12/2016</v>
      </c>
      <c r="E708" s="5" t="s">
        <v>907</v>
      </c>
      <c r="F708" s="8" t="s">
        <v>12</v>
      </c>
      <c r="G708" s="8" t="s">
        <v>872</v>
      </c>
      <c r="H708" s="9"/>
      <c r="I708" s="9"/>
      <c r="J708" s="9"/>
      <c r="K708" s="9"/>
      <c r="L708" s="9"/>
      <c r="M708" s="9"/>
      <c r="N708" s="9"/>
      <c r="O708" s="9"/>
      <c r="P708" s="9"/>
    </row>
    <row r="709" ht="30.0" customHeight="1">
      <c r="A709" s="4" t="s">
        <v>475</v>
      </c>
      <c r="B709" s="5" t="s">
        <v>476</v>
      </c>
      <c r="C709" s="6">
        <v>25415.15</v>
      </c>
      <c r="D709" s="7" t="str">
        <f>HYPERLINK("http://www.usrc.it/AppRendiConta/det_760_20161221.pdf","Determina n.760 del 21/12/2016")</f>
        <v>Determina n.760 del 21/12/2016</v>
      </c>
      <c r="E709" s="5" t="s">
        <v>908</v>
      </c>
      <c r="F709" s="8" t="s">
        <v>12</v>
      </c>
      <c r="G709" s="8" t="s">
        <v>529</v>
      </c>
      <c r="H709" s="9"/>
      <c r="I709" s="9"/>
      <c r="J709" s="9"/>
      <c r="K709" s="9"/>
      <c r="L709" s="9"/>
      <c r="M709" s="9"/>
      <c r="N709" s="9"/>
      <c r="O709" s="9"/>
      <c r="P709" s="9"/>
    </row>
    <row r="710" ht="30.0" customHeight="1">
      <c r="A710" s="4" t="s">
        <v>64</v>
      </c>
      <c r="B710" s="5" t="s">
        <v>65</v>
      </c>
      <c r="C710" s="6">
        <v>425844.62</v>
      </c>
      <c r="D710" s="7" t="str">
        <f>HYPERLINK("http://www.usrc.it/AppRendiConta/det_768_20161227.pdf","Determina n.768 del 27/12/2016")</f>
        <v>Determina n.768 del 27/12/2016</v>
      </c>
      <c r="E710" s="5" t="s">
        <v>909</v>
      </c>
      <c r="F710" s="8" t="s">
        <v>12</v>
      </c>
      <c r="G710" s="8" t="s">
        <v>840</v>
      </c>
      <c r="H710" s="9"/>
      <c r="I710" s="9"/>
      <c r="J710" s="9"/>
      <c r="K710" s="9"/>
      <c r="L710" s="9"/>
      <c r="M710" s="9"/>
      <c r="N710" s="9"/>
      <c r="O710" s="9"/>
      <c r="P710" s="9"/>
    </row>
    <row r="711" ht="30.0" customHeight="1">
      <c r="A711" s="5"/>
      <c r="B711" s="5"/>
      <c r="C711" s="6"/>
      <c r="D711" s="18"/>
      <c r="E711" s="8"/>
      <c r="F711" s="8"/>
      <c r="G711" s="8"/>
      <c r="H711" s="9"/>
      <c r="I711" s="9"/>
      <c r="J711" s="9"/>
      <c r="K711" s="9"/>
      <c r="L711" s="9"/>
      <c r="M711" s="9"/>
      <c r="N711" s="9"/>
      <c r="O711" s="9"/>
      <c r="P711" s="9"/>
    </row>
    <row r="712" ht="30.0" customHeight="1">
      <c r="A712" s="5"/>
      <c r="B712" s="5"/>
      <c r="C712" s="6"/>
      <c r="D712" s="18"/>
      <c r="E712" s="8"/>
      <c r="F712" s="8"/>
      <c r="G712" s="8"/>
      <c r="H712" s="9"/>
      <c r="I712" s="9"/>
      <c r="J712" s="9"/>
      <c r="K712" s="9"/>
      <c r="L712" s="9"/>
      <c r="M712" s="9"/>
      <c r="N712" s="9"/>
      <c r="O712" s="9"/>
      <c r="P712" s="9"/>
    </row>
    <row r="713" ht="30.0" customHeight="1">
      <c r="A713" s="5"/>
      <c r="B713" s="8"/>
      <c r="C713" s="6"/>
      <c r="D713" s="18"/>
      <c r="E713" s="8"/>
      <c r="F713" s="8"/>
      <c r="G713" s="8"/>
      <c r="H713" s="9"/>
      <c r="I713" s="9"/>
      <c r="J713" s="9"/>
      <c r="K713" s="9"/>
      <c r="L713" s="9"/>
      <c r="M713" s="9"/>
      <c r="N713" s="9"/>
      <c r="O713" s="9"/>
      <c r="P713" s="9"/>
    </row>
    <row r="714" ht="30.0" customHeight="1">
      <c r="A714" s="5"/>
      <c r="B714" s="5"/>
      <c r="C714" s="6"/>
      <c r="D714" s="18"/>
      <c r="E714" s="8"/>
      <c r="F714" s="8"/>
      <c r="G714" s="8"/>
      <c r="H714" s="9"/>
      <c r="I714" s="9"/>
      <c r="J714" s="9"/>
      <c r="K714" s="9"/>
      <c r="L714" s="9"/>
      <c r="M714" s="9"/>
      <c r="N714" s="9"/>
      <c r="O714" s="9"/>
      <c r="P714" s="9"/>
    </row>
    <row r="715" ht="30.0" customHeight="1">
      <c r="A715" s="5"/>
      <c r="B715" s="5"/>
      <c r="C715" s="6"/>
      <c r="D715" s="18"/>
      <c r="E715" s="8"/>
      <c r="F715" s="8"/>
      <c r="G715" s="8"/>
      <c r="H715" s="9"/>
      <c r="I715" s="9"/>
      <c r="J715" s="9"/>
      <c r="K715" s="9"/>
      <c r="L715" s="9"/>
      <c r="M715" s="9"/>
      <c r="N715" s="9"/>
      <c r="O715" s="9"/>
      <c r="P715" s="9"/>
    </row>
    <row r="716" ht="30.0" customHeight="1">
      <c r="A716" s="5"/>
      <c r="B716" s="5"/>
      <c r="C716" s="6"/>
      <c r="D716" s="18"/>
      <c r="E716" s="8"/>
      <c r="F716" s="8"/>
      <c r="G716" s="8"/>
      <c r="H716" s="9"/>
      <c r="I716" s="9"/>
      <c r="J716" s="9"/>
      <c r="K716" s="9"/>
      <c r="L716" s="9"/>
      <c r="M716" s="9"/>
      <c r="N716" s="9"/>
      <c r="O716" s="9"/>
      <c r="P716" s="9"/>
    </row>
    <row r="717" ht="30.0" customHeight="1">
      <c r="A717" s="5"/>
      <c r="B717" s="5"/>
      <c r="C717" s="6"/>
      <c r="D717" s="18"/>
      <c r="E717" s="8"/>
      <c r="F717" s="8"/>
      <c r="G717" s="8"/>
      <c r="H717" s="9"/>
      <c r="I717" s="9"/>
      <c r="J717" s="9"/>
      <c r="K717" s="9"/>
      <c r="L717" s="9"/>
      <c r="M717" s="9"/>
      <c r="N717" s="9"/>
      <c r="O717" s="9"/>
      <c r="P717" s="9"/>
    </row>
    <row r="718" ht="30.0" customHeight="1">
      <c r="A718" s="5"/>
      <c r="B718" s="5"/>
      <c r="C718" s="6"/>
      <c r="D718" s="18"/>
      <c r="E718" s="8"/>
      <c r="F718" s="8"/>
      <c r="G718" s="8"/>
      <c r="H718" s="9"/>
      <c r="I718" s="9"/>
      <c r="J718" s="9"/>
      <c r="K718" s="9"/>
      <c r="L718" s="9"/>
      <c r="M718" s="9"/>
      <c r="N718" s="9"/>
      <c r="O718" s="9"/>
      <c r="P718" s="9"/>
    </row>
    <row r="719" ht="30.0" customHeight="1">
      <c r="A719" s="5"/>
      <c r="B719" s="5"/>
      <c r="C719" s="6"/>
      <c r="D719" s="18"/>
      <c r="E719" s="8"/>
      <c r="F719" s="8"/>
      <c r="G719" s="8"/>
      <c r="H719" s="9"/>
      <c r="I719" s="9"/>
      <c r="J719" s="9"/>
      <c r="K719" s="9"/>
      <c r="L719" s="9"/>
      <c r="M719" s="9"/>
      <c r="N719" s="9"/>
      <c r="O719" s="9"/>
      <c r="P719" s="9"/>
    </row>
    <row r="720" ht="30.0" customHeight="1">
      <c r="A720" s="5"/>
      <c r="B720" s="5"/>
      <c r="C720" s="6"/>
      <c r="D720" s="18"/>
      <c r="E720" s="8"/>
      <c r="F720" s="8"/>
      <c r="G720" s="8"/>
      <c r="H720" s="9"/>
      <c r="I720" s="9"/>
      <c r="J720" s="9"/>
      <c r="K720" s="9"/>
      <c r="L720" s="9"/>
      <c r="M720" s="9"/>
      <c r="N720" s="9"/>
      <c r="O720" s="9"/>
      <c r="P720" s="9"/>
    </row>
    <row r="721" ht="30.0" customHeight="1">
      <c r="A721" s="5"/>
      <c r="B721" s="5"/>
      <c r="C721" s="6"/>
      <c r="D721" s="18"/>
      <c r="E721" s="8"/>
      <c r="F721" s="8"/>
      <c r="G721" s="8"/>
      <c r="H721" s="9"/>
      <c r="I721" s="9"/>
      <c r="J721" s="9"/>
      <c r="K721" s="9"/>
      <c r="L721" s="9"/>
      <c r="M721" s="9"/>
      <c r="N721" s="9"/>
      <c r="O721" s="9"/>
      <c r="P721" s="9"/>
    </row>
    <row r="722" ht="30.0" customHeight="1">
      <c r="A722" s="5"/>
      <c r="B722" s="5"/>
      <c r="C722" s="6"/>
      <c r="D722" s="18"/>
      <c r="E722" s="8"/>
      <c r="F722" s="8"/>
      <c r="G722" s="8"/>
      <c r="H722" s="9"/>
      <c r="I722" s="9"/>
      <c r="J722" s="9"/>
      <c r="K722" s="9"/>
      <c r="L722" s="9"/>
      <c r="M722" s="9"/>
      <c r="N722" s="9"/>
      <c r="O722" s="9"/>
      <c r="P722" s="9"/>
    </row>
    <row r="723" ht="30.0" customHeight="1">
      <c r="A723" s="5"/>
      <c r="B723" s="5"/>
      <c r="C723" s="6"/>
      <c r="D723" s="18"/>
      <c r="E723" s="8"/>
      <c r="F723" s="8"/>
      <c r="G723" s="8"/>
      <c r="H723" s="9"/>
      <c r="I723" s="9"/>
      <c r="J723" s="9"/>
      <c r="K723" s="9"/>
      <c r="L723" s="9"/>
      <c r="M723" s="9"/>
      <c r="N723" s="9"/>
      <c r="O723" s="9"/>
      <c r="P723" s="9"/>
    </row>
    <row r="724" ht="30.0" customHeight="1">
      <c r="A724" s="5"/>
      <c r="B724" s="5"/>
      <c r="C724" s="6"/>
      <c r="D724" s="18"/>
      <c r="E724" s="8"/>
      <c r="F724" s="8"/>
      <c r="G724" s="8"/>
      <c r="H724" s="9"/>
      <c r="I724" s="9"/>
      <c r="J724" s="9"/>
      <c r="K724" s="9"/>
      <c r="L724" s="9"/>
      <c r="M724" s="9"/>
      <c r="N724" s="9"/>
      <c r="O724" s="9"/>
      <c r="P724" s="9"/>
    </row>
    <row r="725" ht="30.0" customHeight="1">
      <c r="A725" s="5"/>
      <c r="B725" s="5"/>
      <c r="C725" s="6"/>
      <c r="D725" s="18"/>
      <c r="E725" s="8"/>
      <c r="F725" s="8"/>
      <c r="G725" s="8"/>
      <c r="H725" s="9"/>
      <c r="I725" s="9"/>
      <c r="J725" s="9"/>
      <c r="K725" s="9"/>
      <c r="L725" s="9"/>
      <c r="M725" s="9"/>
      <c r="N725" s="9"/>
      <c r="O725" s="9"/>
      <c r="P725" s="9"/>
    </row>
    <row r="726" ht="30.0" customHeight="1">
      <c r="A726" s="5"/>
      <c r="B726" s="5"/>
      <c r="C726" s="6"/>
      <c r="D726" s="18"/>
      <c r="E726" s="8"/>
      <c r="F726" s="8"/>
      <c r="G726" s="8"/>
      <c r="H726" s="9"/>
      <c r="I726" s="9"/>
      <c r="J726" s="9"/>
      <c r="K726" s="9"/>
      <c r="L726" s="9"/>
      <c r="M726" s="9"/>
      <c r="N726" s="9"/>
      <c r="O726" s="9"/>
      <c r="P726" s="9"/>
    </row>
    <row r="727" ht="30.0" customHeight="1">
      <c r="A727" s="5"/>
      <c r="B727" s="5"/>
      <c r="C727" s="6"/>
      <c r="D727" s="18"/>
      <c r="E727" s="8"/>
      <c r="F727" s="8"/>
      <c r="G727" s="8"/>
      <c r="H727" s="9"/>
      <c r="I727" s="9"/>
      <c r="J727" s="9"/>
      <c r="K727" s="9"/>
      <c r="L727" s="9"/>
      <c r="M727" s="9"/>
      <c r="N727" s="9"/>
      <c r="O727" s="9"/>
      <c r="P727" s="9"/>
    </row>
    <row r="728" ht="30.0" customHeight="1">
      <c r="A728" s="5"/>
      <c r="B728" s="5"/>
      <c r="C728" s="6"/>
      <c r="D728" s="18"/>
      <c r="E728" s="8"/>
      <c r="F728" s="8"/>
      <c r="G728" s="8"/>
      <c r="H728" s="9"/>
      <c r="I728" s="9"/>
      <c r="J728" s="9"/>
      <c r="K728" s="9"/>
      <c r="L728" s="9"/>
      <c r="M728" s="9"/>
      <c r="N728" s="9"/>
      <c r="O728" s="9"/>
      <c r="P728" s="9"/>
    </row>
    <row r="729" ht="30.0" customHeight="1">
      <c r="A729" s="5"/>
      <c r="B729" s="5"/>
      <c r="C729" s="6"/>
      <c r="D729" s="18"/>
      <c r="E729" s="8"/>
      <c r="F729" s="8"/>
      <c r="G729" s="8"/>
      <c r="H729" s="9"/>
      <c r="I729" s="9"/>
      <c r="J729" s="9"/>
      <c r="K729" s="9"/>
      <c r="L729" s="9"/>
      <c r="M729" s="9"/>
      <c r="N729" s="9"/>
      <c r="O729" s="9"/>
      <c r="P729" s="9"/>
    </row>
    <row r="730" ht="30.0" customHeight="1">
      <c r="A730" s="5"/>
      <c r="B730" s="5"/>
      <c r="C730" s="6"/>
      <c r="D730" s="18"/>
      <c r="E730" s="8"/>
      <c r="F730" s="8"/>
      <c r="G730" s="8"/>
      <c r="H730" s="9"/>
      <c r="I730" s="9"/>
      <c r="J730" s="9"/>
      <c r="K730" s="9"/>
      <c r="L730" s="9"/>
      <c r="M730" s="9"/>
      <c r="N730" s="9"/>
      <c r="O730" s="9"/>
      <c r="P730" s="9"/>
    </row>
    <row r="731" ht="30.0" customHeight="1">
      <c r="A731" s="5"/>
      <c r="B731" s="5"/>
      <c r="C731" s="6"/>
      <c r="D731" s="18"/>
      <c r="E731" s="8"/>
      <c r="F731" s="8"/>
      <c r="G731" s="8"/>
      <c r="H731" s="9"/>
      <c r="I731" s="9"/>
      <c r="J731" s="9"/>
      <c r="K731" s="9"/>
      <c r="L731" s="9"/>
      <c r="M731" s="9"/>
      <c r="N731" s="9"/>
      <c r="O731" s="9"/>
      <c r="P731" s="9"/>
    </row>
    <row r="732" ht="30.0" customHeight="1">
      <c r="A732" s="5"/>
      <c r="B732" s="5"/>
      <c r="C732" s="6"/>
      <c r="D732" s="18"/>
      <c r="E732" s="8"/>
      <c r="F732" s="8"/>
      <c r="G732" s="8"/>
      <c r="H732" s="9"/>
      <c r="I732" s="9"/>
      <c r="J732" s="9"/>
      <c r="K732" s="9"/>
      <c r="L732" s="9"/>
      <c r="M732" s="9"/>
      <c r="N732" s="9"/>
      <c r="O732" s="9"/>
      <c r="P732" s="9"/>
    </row>
    <row r="733" ht="30.0" customHeight="1">
      <c r="A733" s="5"/>
      <c r="B733" s="5"/>
      <c r="C733" s="6"/>
      <c r="D733" s="18"/>
      <c r="E733" s="8"/>
      <c r="F733" s="8"/>
      <c r="G733" s="8"/>
      <c r="H733" s="9"/>
      <c r="I733" s="9"/>
      <c r="J733" s="9"/>
      <c r="K733" s="9"/>
      <c r="L733" s="9"/>
      <c r="M733" s="9"/>
      <c r="N733" s="9"/>
      <c r="O733" s="9"/>
      <c r="P733" s="9"/>
    </row>
    <row r="734" ht="30.0" customHeight="1">
      <c r="A734" s="5"/>
      <c r="B734" s="5"/>
      <c r="C734" s="6"/>
      <c r="D734" s="18"/>
      <c r="E734" s="8"/>
      <c r="F734" s="8"/>
      <c r="G734" s="8"/>
      <c r="H734" s="9"/>
      <c r="I734" s="9"/>
      <c r="J734" s="9"/>
      <c r="K734" s="9"/>
      <c r="L734" s="9"/>
      <c r="M734" s="9"/>
      <c r="N734" s="9"/>
      <c r="O734" s="9"/>
      <c r="P734" s="9"/>
    </row>
    <row r="735" ht="30.0" customHeight="1">
      <c r="A735" s="5"/>
      <c r="B735" s="5"/>
      <c r="C735" s="6"/>
      <c r="D735" s="18"/>
      <c r="E735" s="8"/>
      <c r="F735" s="8"/>
      <c r="G735" s="8"/>
      <c r="H735" s="9"/>
      <c r="I735" s="9"/>
      <c r="J735" s="9"/>
      <c r="K735" s="9"/>
      <c r="L735" s="9"/>
      <c r="M735" s="9"/>
      <c r="N735" s="9"/>
      <c r="O735" s="9"/>
      <c r="P735" s="9"/>
    </row>
    <row r="736" ht="30.0" customHeight="1">
      <c r="A736" s="5"/>
      <c r="B736" s="5"/>
      <c r="C736" s="6"/>
      <c r="D736" s="18"/>
      <c r="E736" s="8"/>
      <c r="F736" s="8"/>
      <c r="G736" s="8"/>
      <c r="H736" s="9"/>
      <c r="I736" s="9"/>
      <c r="J736" s="9"/>
      <c r="K736" s="9"/>
      <c r="L736" s="9"/>
      <c r="M736" s="9"/>
      <c r="N736" s="9"/>
      <c r="O736" s="9"/>
      <c r="P736" s="9"/>
    </row>
    <row r="737" ht="30.0" customHeight="1">
      <c r="A737" s="5"/>
      <c r="B737" s="5"/>
      <c r="C737" s="6"/>
      <c r="D737" s="18"/>
      <c r="E737" s="8"/>
      <c r="F737" s="8"/>
      <c r="G737" s="8"/>
      <c r="H737" s="9"/>
      <c r="I737" s="9"/>
      <c r="J737" s="9"/>
      <c r="K737" s="9"/>
      <c r="L737" s="9"/>
      <c r="M737" s="9"/>
      <c r="N737" s="9"/>
      <c r="O737" s="9"/>
      <c r="P737" s="9"/>
    </row>
    <row r="738" ht="30.0" customHeight="1">
      <c r="A738" s="5"/>
      <c r="B738" s="5"/>
      <c r="C738" s="6"/>
      <c r="D738" s="18"/>
      <c r="E738" s="8"/>
      <c r="F738" s="8"/>
      <c r="G738" s="8"/>
      <c r="H738" s="9"/>
      <c r="I738" s="9"/>
      <c r="J738" s="9"/>
      <c r="K738" s="9"/>
      <c r="L738" s="9"/>
      <c r="M738" s="9"/>
      <c r="N738" s="9"/>
      <c r="O738" s="9"/>
      <c r="P738" s="9"/>
    </row>
    <row r="739" ht="30.0" customHeight="1">
      <c r="A739" s="5"/>
      <c r="B739" s="5"/>
      <c r="C739" s="6"/>
      <c r="D739" s="18"/>
      <c r="E739" s="8"/>
      <c r="F739" s="8"/>
      <c r="G739" s="8"/>
      <c r="H739" s="9"/>
      <c r="I739" s="9"/>
      <c r="J739" s="9"/>
      <c r="K739" s="9"/>
      <c r="L739" s="9"/>
      <c r="M739" s="9"/>
      <c r="N739" s="9"/>
      <c r="O739" s="9"/>
      <c r="P739" s="9"/>
    </row>
    <row r="740" ht="30.0" customHeight="1">
      <c r="A740" s="5"/>
      <c r="B740" s="5"/>
      <c r="C740" s="6"/>
      <c r="D740" s="18"/>
      <c r="E740" s="8"/>
      <c r="F740" s="8"/>
      <c r="G740" s="8"/>
      <c r="H740" s="9"/>
      <c r="I740" s="9"/>
      <c r="J740" s="9"/>
      <c r="K740" s="9"/>
      <c r="L740" s="9"/>
      <c r="M740" s="9"/>
      <c r="N740" s="9"/>
      <c r="O740" s="9"/>
      <c r="P740" s="9"/>
    </row>
    <row r="741" ht="30.0" customHeight="1">
      <c r="A741" s="5"/>
      <c r="B741" s="5"/>
      <c r="C741" s="6"/>
      <c r="D741" s="18"/>
      <c r="E741" s="8"/>
      <c r="F741" s="8"/>
      <c r="G741" s="8"/>
      <c r="H741" s="9"/>
      <c r="I741" s="9"/>
      <c r="J741" s="9"/>
      <c r="K741" s="9"/>
      <c r="L741" s="9"/>
      <c r="M741" s="9"/>
      <c r="N741" s="9"/>
      <c r="O741" s="9"/>
      <c r="P741" s="9"/>
    </row>
    <row r="742" ht="30.0" customHeight="1">
      <c r="A742" s="5"/>
      <c r="B742" s="5"/>
      <c r="C742" s="6"/>
      <c r="D742" s="18"/>
      <c r="E742" s="8"/>
      <c r="F742" s="8"/>
      <c r="G742" s="8"/>
      <c r="H742" s="9"/>
      <c r="I742" s="9"/>
      <c r="J742" s="9"/>
      <c r="K742" s="9"/>
      <c r="L742" s="9"/>
      <c r="M742" s="9"/>
      <c r="N742" s="9"/>
      <c r="O742" s="9"/>
      <c r="P742" s="9"/>
    </row>
    <row r="743" ht="30.0" customHeight="1">
      <c r="A743" s="5"/>
      <c r="B743" s="5"/>
      <c r="C743" s="6"/>
      <c r="D743" s="18"/>
      <c r="E743" s="8"/>
      <c r="F743" s="8"/>
      <c r="G743" s="8"/>
      <c r="H743" s="9"/>
      <c r="I743" s="9"/>
      <c r="J743" s="9"/>
      <c r="K743" s="9"/>
      <c r="L743" s="9"/>
      <c r="M743" s="9"/>
      <c r="N743" s="9"/>
      <c r="O743" s="9"/>
      <c r="P743" s="9"/>
    </row>
    <row r="744" ht="30.0" customHeight="1">
      <c r="A744" s="5"/>
      <c r="B744" s="5"/>
      <c r="C744" s="6"/>
      <c r="D744" s="18"/>
      <c r="E744" s="8"/>
      <c r="F744" s="8"/>
      <c r="G744" s="8"/>
      <c r="H744" s="9"/>
      <c r="I744" s="9"/>
      <c r="J744" s="9"/>
      <c r="K744" s="9"/>
      <c r="L744" s="9"/>
      <c r="M744" s="9"/>
      <c r="N744" s="9"/>
      <c r="O744" s="9"/>
      <c r="P744" s="9"/>
    </row>
    <row r="745" ht="30.0" customHeight="1">
      <c r="A745" s="5"/>
      <c r="B745" s="5"/>
      <c r="C745" s="6"/>
      <c r="D745" s="18"/>
      <c r="E745" s="8"/>
      <c r="F745" s="8"/>
      <c r="G745" s="8"/>
      <c r="H745" s="9"/>
      <c r="I745" s="9"/>
      <c r="J745" s="9"/>
      <c r="K745" s="9"/>
      <c r="L745" s="9"/>
      <c r="M745" s="9"/>
      <c r="N745" s="9"/>
      <c r="O745" s="9"/>
      <c r="P745" s="9"/>
    </row>
    <row r="746" ht="30.0" customHeight="1">
      <c r="A746" s="5"/>
      <c r="B746" s="5"/>
      <c r="C746" s="6"/>
      <c r="D746" s="18"/>
      <c r="E746" s="8"/>
      <c r="F746" s="8"/>
      <c r="G746" s="8"/>
      <c r="H746" s="9"/>
      <c r="I746" s="9"/>
      <c r="J746" s="9"/>
      <c r="K746" s="9"/>
      <c r="L746" s="9"/>
      <c r="M746" s="9"/>
      <c r="N746" s="9"/>
      <c r="O746" s="9"/>
      <c r="P746" s="9"/>
    </row>
    <row r="747" ht="30.0" customHeight="1">
      <c r="A747" s="5"/>
      <c r="B747" s="5"/>
      <c r="C747" s="6"/>
      <c r="D747" s="18"/>
      <c r="E747" s="8"/>
      <c r="F747" s="8"/>
      <c r="G747" s="8"/>
      <c r="H747" s="9"/>
      <c r="I747" s="9"/>
      <c r="J747" s="9"/>
      <c r="K747" s="9"/>
      <c r="L747" s="9"/>
      <c r="M747" s="9"/>
      <c r="N747" s="9"/>
      <c r="O747" s="9"/>
      <c r="P747" s="9"/>
    </row>
    <row r="748" ht="30.0" customHeight="1">
      <c r="A748" s="5"/>
      <c r="B748" s="5"/>
      <c r="C748" s="6"/>
      <c r="D748" s="18"/>
      <c r="E748" s="8"/>
      <c r="F748" s="8"/>
      <c r="G748" s="8"/>
      <c r="H748" s="9"/>
      <c r="I748" s="9"/>
      <c r="J748" s="9"/>
      <c r="K748" s="9"/>
      <c r="L748" s="9"/>
      <c r="M748" s="9"/>
      <c r="N748" s="9"/>
      <c r="O748" s="9"/>
      <c r="P748" s="9"/>
    </row>
    <row r="749" ht="30.0" customHeight="1">
      <c r="A749" s="5"/>
      <c r="B749" s="5"/>
      <c r="C749" s="6"/>
      <c r="D749" s="18"/>
      <c r="E749" s="8"/>
      <c r="F749" s="8"/>
      <c r="G749" s="8"/>
      <c r="H749" s="9"/>
      <c r="I749" s="9"/>
      <c r="J749" s="9"/>
      <c r="K749" s="9"/>
      <c r="L749" s="9"/>
      <c r="M749" s="9"/>
      <c r="N749" s="9"/>
      <c r="O749" s="9"/>
      <c r="P749" s="9"/>
    </row>
    <row r="750" ht="30.0" customHeight="1">
      <c r="A750" s="5"/>
      <c r="B750" s="5"/>
      <c r="C750" s="6"/>
      <c r="D750" s="18"/>
      <c r="E750" s="8"/>
      <c r="F750" s="8"/>
      <c r="G750" s="8"/>
      <c r="H750" s="9"/>
      <c r="I750" s="9"/>
      <c r="J750" s="9"/>
      <c r="K750" s="9"/>
      <c r="L750" s="9"/>
      <c r="M750" s="9"/>
      <c r="N750" s="9"/>
      <c r="O750" s="9"/>
      <c r="P750" s="9"/>
    </row>
    <row r="751" ht="30.0" customHeight="1">
      <c r="A751" s="5"/>
      <c r="B751" s="5"/>
      <c r="C751" s="6"/>
      <c r="D751" s="18"/>
      <c r="E751" s="8"/>
      <c r="F751" s="8"/>
      <c r="G751" s="8"/>
      <c r="H751" s="9"/>
      <c r="I751" s="9"/>
      <c r="J751" s="9"/>
      <c r="K751" s="9"/>
      <c r="L751" s="9"/>
      <c r="M751" s="9"/>
      <c r="N751" s="9"/>
      <c r="O751" s="9"/>
      <c r="P751" s="9"/>
    </row>
    <row r="752" ht="30.0" customHeight="1">
      <c r="A752" s="5"/>
      <c r="B752" s="5"/>
      <c r="C752" s="6"/>
      <c r="D752" s="18"/>
      <c r="E752" s="8"/>
      <c r="F752" s="8"/>
      <c r="G752" s="8"/>
      <c r="H752" s="9"/>
      <c r="I752" s="9"/>
      <c r="J752" s="9"/>
      <c r="K752" s="9"/>
      <c r="L752" s="9"/>
      <c r="M752" s="9"/>
      <c r="N752" s="9"/>
      <c r="O752" s="9"/>
      <c r="P752" s="9"/>
    </row>
    <row r="753" ht="30.0" customHeight="1">
      <c r="A753" s="5"/>
      <c r="B753" s="5"/>
      <c r="C753" s="6"/>
      <c r="D753" s="18"/>
      <c r="E753" s="8"/>
      <c r="F753" s="8"/>
      <c r="G753" s="8"/>
      <c r="H753" s="9"/>
      <c r="I753" s="9"/>
      <c r="J753" s="9"/>
      <c r="K753" s="9"/>
      <c r="L753" s="9"/>
      <c r="M753" s="9"/>
      <c r="N753" s="9"/>
      <c r="O753" s="9"/>
      <c r="P753" s="9"/>
    </row>
    <row r="754" ht="30.0" customHeight="1">
      <c r="A754" s="5"/>
      <c r="B754" s="5"/>
      <c r="C754" s="6"/>
      <c r="D754" s="18"/>
      <c r="E754" s="8"/>
      <c r="F754" s="8"/>
      <c r="G754" s="8"/>
      <c r="H754" s="9"/>
      <c r="I754" s="9"/>
      <c r="J754" s="9"/>
      <c r="K754" s="9"/>
      <c r="L754" s="9"/>
      <c r="M754" s="9"/>
      <c r="N754" s="9"/>
      <c r="O754" s="9"/>
      <c r="P754" s="9"/>
    </row>
    <row r="755" ht="30.0" customHeight="1">
      <c r="A755" s="5"/>
      <c r="B755" s="5"/>
      <c r="C755" s="6"/>
      <c r="D755" s="18"/>
      <c r="E755" s="8"/>
      <c r="F755" s="8"/>
      <c r="G755" s="8"/>
      <c r="H755" s="9"/>
      <c r="I755" s="9"/>
      <c r="J755" s="9"/>
      <c r="K755" s="9"/>
      <c r="L755" s="9"/>
      <c r="M755" s="9"/>
      <c r="N755" s="9"/>
      <c r="O755" s="9"/>
      <c r="P755" s="9"/>
    </row>
    <row r="756" ht="30.0" customHeight="1">
      <c r="A756" s="5"/>
      <c r="B756" s="5"/>
      <c r="C756" s="6"/>
      <c r="D756" s="18"/>
      <c r="E756" s="8"/>
      <c r="F756" s="8"/>
      <c r="G756" s="8"/>
      <c r="H756" s="9"/>
      <c r="I756" s="9"/>
      <c r="J756" s="9"/>
      <c r="K756" s="9"/>
      <c r="L756" s="9"/>
      <c r="M756" s="9"/>
      <c r="N756" s="9"/>
      <c r="O756" s="9"/>
      <c r="P756" s="9"/>
    </row>
    <row r="757" ht="30.0" customHeight="1">
      <c r="A757" s="5"/>
      <c r="B757" s="5"/>
      <c r="C757" s="6"/>
      <c r="D757" s="18"/>
      <c r="E757" s="8"/>
      <c r="F757" s="8"/>
      <c r="G757" s="8"/>
      <c r="H757" s="9"/>
      <c r="I757" s="9"/>
      <c r="J757" s="9"/>
      <c r="K757" s="9"/>
      <c r="L757" s="9"/>
      <c r="M757" s="9"/>
      <c r="N757" s="9"/>
      <c r="O757" s="9"/>
      <c r="P757" s="9"/>
    </row>
    <row r="758" ht="30.0" customHeight="1">
      <c r="A758" s="5"/>
      <c r="B758" s="5"/>
      <c r="C758" s="6"/>
      <c r="D758" s="18"/>
      <c r="E758" s="8"/>
      <c r="F758" s="8"/>
      <c r="G758" s="8"/>
      <c r="H758" s="9"/>
      <c r="I758" s="9"/>
      <c r="J758" s="9"/>
      <c r="K758" s="9"/>
      <c r="L758" s="9"/>
      <c r="M758" s="9"/>
      <c r="N758" s="9"/>
      <c r="O758" s="9"/>
      <c r="P758" s="9"/>
    </row>
    <row r="759" ht="30.0" customHeight="1">
      <c r="A759" s="5"/>
      <c r="B759" s="5"/>
      <c r="C759" s="6"/>
      <c r="D759" s="18"/>
      <c r="E759" s="8"/>
      <c r="F759" s="8"/>
      <c r="G759" s="8"/>
      <c r="H759" s="9"/>
      <c r="I759" s="9"/>
      <c r="J759" s="9"/>
      <c r="K759" s="9"/>
      <c r="L759" s="9"/>
      <c r="M759" s="9"/>
      <c r="N759" s="9"/>
      <c r="O759" s="9"/>
      <c r="P759" s="9"/>
    </row>
    <row r="760" ht="30.0" customHeight="1">
      <c r="A760" s="5"/>
      <c r="B760" s="5"/>
      <c r="C760" s="6"/>
      <c r="D760" s="18"/>
      <c r="E760" s="8"/>
      <c r="F760" s="8"/>
      <c r="G760" s="8"/>
      <c r="H760" s="9"/>
      <c r="I760" s="9"/>
      <c r="J760" s="9"/>
      <c r="K760" s="9"/>
      <c r="L760" s="9"/>
      <c r="M760" s="9"/>
      <c r="N760" s="9"/>
      <c r="O760" s="9"/>
      <c r="P760" s="9"/>
    </row>
    <row r="761" ht="30.0" customHeight="1">
      <c r="A761" s="5"/>
      <c r="B761" s="5"/>
      <c r="C761" s="6"/>
      <c r="D761" s="18"/>
      <c r="E761" s="8"/>
      <c r="F761" s="8"/>
      <c r="G761" s="8"/>
      <c r="H761" s="9"/>
      <c r="I761" s="9"/>
      <c r="J761" s="9"/>
      <c r="K761" s="9"/>
      <c r="L761" s="9"/>
      <c r="M761" s="9"/>
      <c r="N761" s="9"/>
      <c r="O761" s="9"/>
      <c r="P761" s="9"/>
    </row>
    <row r="762" ht="30.0" customHeight="1">
      <c r="A762" s="5"/>
      <c r="B762" s="5"/>
      <c r="C762" s="6"/>
      <c r="D762" s="18"/>
      <c r="E762" s="8"/>
      <c r="F762" s="8"/>
      <c r="G762" s="8"/>
      <c r="H762" s="9"/>
      <c r="I762" s="9"/>
      <c r="J762" s="9"/>
      <c r="K762" s="9"/>
      <c r="L762" s="9"/>
      <c r="M762" s="9"/>
      <c r="N762" s="9"/>
      <c r="O762" s="9"/>
      <c r="P762" s="9"/>
    </row>
    <row r="763" ht="30.0" customHeight="1">
      <c r="A763" s="5"/>
      <c r="B763" s="5"/>
      <c r="C763" s="6"/>
      <c r="D763" s="18"/>
      <c r="E763" s="8"/>
      <c r="F763" s="8"/>
      <c r="G763" s="8"/>
      <c r="H763" s="9"/>
      <c r="I763" s="9"/>
      <c r="J763" s="9"/>
      <c r="K763" s="9"/>
      <c r="L763" s="9"/>
      <c r="M763" s="9"/>
      <c r="N763" s="9"/>
      <c r="O763" s="9"/>
      <c r="P763" s="9"/>
    </row>
    <row r="764" ht="30.0" customHeight="1">
      <c r="A764" s="5"/>
      <c r="B764" s="5"/>
      <c r="C764" s="6"/>
      <c r="D764" s="18"/>
      <c r="E764" s="8"/>
      <c r="F764" s="8"/>
      <c r="G764" s="8"/>
      <c r="H764" s="9"/>
      <c r="I764" s="9"/>
      <c r="J764" s="9"/>
      <c r="K764" s="9"/>
      <c r="L764" s="9"/>
      <c r="M764" s="9"/>
      <c r="N764" s="9"/>
      <c r="O764" s="9"/>
      <c r="P764" s="9"/>
    </row>
    <row r="765" ht="30.0" customHeight="1">
      <c r="A765" s="5"/>
      <c r="B765" s="5"/>
      <c r="C765" s="6"/>
      <c r="D765" s="18"/>
      <c r="E765" s="8"/>
      <c r="F765" s="8"/>
      <c r="G765" s="8"/>
      <c r="H765" s="9"/>
      <c r="I765" s="9"/>
      <c r="J765" s="9"/>
      <c r="K765" s="9"/>
      <c r="L765" s="9"/>
      <c r="M765" s="9"/>
      <c r="N765" s="9"/>
      <c r="O765" s="9"/>
      <c r="P765" s="9"/>
    </row>
    <row r="766" ht="30.0" customHeight="1">
      <c r="A766" s="5"/>
      <c r="B766" s="5"/>
      <c r="C766" s="6"/>
      <c r="D766" s="18"/>
      <c r="E766" s="8"/>
      <c r="F766" s="8"/>
      <c r="G766" s="8"/>
      <c r="H766" s="9"/>
      <c r="I766" s="9"/>
      <c r="J766" s="9"/>
      <c r="K766" s="9"/>
      <c r="L766" s="9"/>
      <c r="M766" s="9"/>
      <c r="N766" s="9"/>
      <c r="O766" s="9"/>
      <c r="P766" s="9"/>
    </row>
    <row r="767" ht="30.0" customHeight="1">
      <c r="A767" s="5"/>
      <c r="B767" s="5"/>
      <c r="C767" s="6"/>
      <c r="D767" s="18"/>
      <c r="E767" s="8"/>
      <c r="F767" s="8"/>
      <c r="G767" s="8"/>
      <c r="H767" s="9"/>
      <c r="I767" s="9"/>
      <c r="J767" s="9"/>
      <c r="K767" s="9"/>
      <c r="L767" s="9"/>
      <c r="M767" s="9"/>
      <c r="N767" s="9"/>
      <c r="O767" s="9"/>
      <c r="P767" s="9"/>
    </row>
    <row r="768" ht="30.0" customHeight="1">
      <c r="A768" s="5"/>
      <c r="B768" s="5"/>
      <c r="C768" s="6"/>
      <c r="D768" s="18"/>
      <c r="E768" s="8"/>
      <c r="F768" s="8"/>
      <c r="G768" s="8"/>
      <c r="H768" s="9"/>
      <c r="I768" s="9"/>
      <c r="J768" s="9"/>
      <c r="K768" s="9"/>
      <c r="L768" s="9"/>
      <c r="M768" s="9"/>
      <c r="N768" s="9"/>
      <c r="O768" s="9"/>
      <c r="P768" s="9"/>
    </row>
    <row r="769" ht="30.0" customHeight="1">
      <c r="A769" s="5"/>
      <c r="B769" s="5"/>
      <c r="C769" s="6"/>
      <c r="D769" s="18"/>
      <c r="E769" s="8"/>
      <c r="F769" s="8"/>
      <c r="G769" s="8"/>
      <c r="H769" s="9"/>
      <c r="I769" s="9"/>
      <c r="J769" s="9"/>
      <c r="K769" s="9"/>
      <c r="L769" s="9"/>
      <c r="M769" s="9"/>
      <c r="N769" s="9"/>
      <c r="O769" s="9"/>
      <c r="P769" s="9"/>
    </row>
    <row r="770" ht="30.0" customHeight="1">
      <c r="A770" s="5"/>
      <c r="B770" s="5"/>
      <c r="C770" s="6"/>
      <c r="D770" s="18"/>
      <c r="E770" s="8"/>
      <c r="F770" s="8"/>
      <c r="G770" s="8"/>
      <c r="H770" s="9"/>
      <c r="I770" s="9"/>
      <c r="J770" s="9"/>
      <c r="K770" s="9"/>
      <c r="L770" s="9"/>
      <c r="M770" s="9"/>
      <c r="N770" s="9"/>
      <c r="O770" s="9"/>
      <c r="P770" s="9"/>
    </row>
    <row r="771" ht="30.0" customHeight="1">
      <c r="A771" s="5"/>
      <c r="B771" s="5"/>
      <c r="C771" s="6"/>
      <c r="D771" s="18"/>
      <c r="E771" s="8"/>
      <c r="F771" s="8"/>
      <c r="G771" s="8"/>
      <c r="H771" s="9"/>
      <c r="I771" s="9"/>
      <c r="J771" s="9"/>
      <c r="K771" s="9"/>
      <c r="L771" s="9"/>
      <c r="M771" s="9"/>
      <c r="N771" s="9"/>
      <c r="O771" s="9"/>
      <c r="P771" s="9"/>
    </row>
    <row r="772" ht="30.0" customHeight="1">
      <c r="A772" s="5"/>
      <c r="B772" s="5"/>
      <c r="C772" s="6"/>
      <c r="D772" s="18"/>
      <c r="E772" s="8"/>
      <c r="F772" s="8"/>
      <c r="G772" s="8"/>
      <c r="H772" s="9"/>
      <c r="I772" s="9"/>
      <c r="J772" s="9"/>
      <c r="K772" s="9"/>
      <c r="L772" s="9"/>
      <c r="M772" s="9"/>
      <c r="N772" s="9"/>
      <c r="O772" s="9"/>
      <c r="P772" s="9"/>
    </row>
    <row r="773" ht="30.0" customHeight="1">
      <c r="A773" s="5"/>
      <c r="B773" s="5"/>
      <c r="C773" s="6"/>
      <c r="D773" s="18"/>
      <c r="E773" s="8"/>
      <c r="F773" s="8"/>
      <c r="G773" s="8"/>
      <c r="H773" s="9"/>
      <c r="I773" s="9"/>
      <c r="J773" s="9"/>
      <c r="K773" s="9"/>
      <c r="L773" s="9"/>
      <c r="M773" s="9"/>
      <c r="N773" s="9"/>
      <c r="O773" s="9"/>
      <c r="P773" s="9"/>
    </row>
    <row r="774" ht="30.0" customHeight="1">
      <c r="A774" s="5"/>
      <c r="B774" s="5"/>
      <c r="C774" s="6"/>
      <c r="D774" s="18"/>
      <c r="E774" s="8"/>
      <c r="F774" s="8"/>
      <c r="G774" s="8"/>
      <c r="H774" s="9"/>
      <c r="I774" s="9"/>
      <c r="J774" s="9"/>
      <c r="K774" s="9"/>
      <c r="L774" s="9"/>
      <c r="M774" s="9"/>
      <c r="N774" s="9"/>
      <c r="O774" s="9"/>
      <c r="P774" s="9"/>
    </row>
    <row r="775" ht="30.0" customHeight="1">
      <c r="A775" s="5"/>
      <c r="B775" s="5"/>
      <c r="C775" s="6"/>
      <c r="D775" s="18"/>
      <c r="E775" s="8"/>
      <c r="F775" s="8"/>
      <c r="G775" s="8"/>
      <c r="H775" s="9"/>
      <c r="I775" s="9"/>
      <c r="J775" s="9"/>
      <c r="K775" s="9"/>
      <c r="L775" s="9"/>
      <c r="M775" s="9"/>
      <c r="N775" s="9"/>
      <c r="O775" s="9"/>
      <c r="P775" s="9"/>
    </row>
    <row r="776" ht="30.0" customHeight="1">
      <c r="A776" s="5"/>
      <c r="B776" s="5"/>
      <c r="C776" s="6"/>
      <c r="D776" s="18"/>
      <c r="E776" s="8"/>
      <c r="F776" s="8"/>
      <c r="G776" s="8"/>
      <c r="H776" s="9"/>
      <c r="I776" s="9"/>
      <c r="J776" s="9"/>
      <c r="K776" s="9"/>
      <c r="L776" s="9"/>
      <c r="M776" s="9"/>
      <c r="N776" s="9"/>
      <c r="O776" s="9"/>
      <c r="P776" s="9"/>
    </row>
    <row r="777" ht="30.0" customHeight="1">
      <c r="A777" s="5"/>
      <c r="B777" s="5"/>
      <c r="C777" s="6"/>
      <c r="D777" s="18"/>
      <c r="E777" s="8"/>
      <c r="F777" s="8"/>
      <c r="G777" s="8"/>
      <c r="H777" s="9"/>
      <c r="I777" s="9"/>
      <c r="J777" s="9"/>
      <c r="K777" s="9"/>
      <c r="L777" s="9"/>
      <c r="M777" s="9"/>
      <c r="N777" s="9"/>
      <c r="O777" s="9"/>
      <c r="P777" s="9"/>
    </row>
    <row r="778" ht="30.0" customHeight="1">
      <c r="A778" s="5"/>
      <c r="B778" s="5"/>
      <c r="C778" s="6"/>
      <c r="D778" s="18"/>
      <c r="E778" s="8"/>
      <c r="F778" s="8"/>
      <c r="G778" s="8"/>
      <c r="H778" s="9"/>
      <c r="I778" s="9"/>
      <c r="J778" s="9"/>
      <c r="K778" s="9"/>
      <c r="L778" s="9"/>
      <c r="M778" s="9"/>
      <c r="N778" s="9"/>
      <c r="O778" s="9"/>
      <c r="P778" s="9"/>
    </row>
    <row r="779" ht="30.0" customHeight="1">
      <c r="A779" s="5"/>
      <c r="B779" s="5"/>
      <c r="C779" s="6"/>
      <c r="D779" s="18"/>
      <c r="E779" s="8"/>
      <c r="F779" s="8"/>
      <c r="G779" s="8"/>
      <c r="H779" s="9"/>
      <c r="I779" s="9"/>
      <c r="J779" s="9"/>
      <c r="K779" s="9"/>
      <c r="L779" s="9"/>
      <c r="M779" s="9"/>
      <c r="N779" s="9"/>
      <c r="O779" s="9"/>
      <c r="P779" s="9"/>
    </row>
    <row r="780" ht="30.0" customHeight="1">
      <c r="A780" s="5"/>
      <c r="B780" s="5"/>
      <c r="C780" s="6"/>
      <c r="D780" s="18"/>
      <c r="E780" s="8"/>
      <c r="F780" s="8"/>
      <c r="G780" s="8"/>
      <c r="H780" s="9"/>
      <c r="I780" s="9"/>
      <c r="J780" s="9"/>
      <c r="K780" s="9"/>
      <c r="L780" s="9"/>
      <c r="M780" s="9"/>
      <c r="N780" s="9"/>
      <c r="O780" s="9"/>
      <c r="P780" s="9"/>
    </row>
    <row r="781" ht="30.0" customHeight="1">
      <c r="A781" s="5"/>
      <c r="B781" s="5"/>
      <c r="C781" s="6"/>
      <c r="D781" s="18"/>
      <c r="E781" s="8"/>
      <c r="F781" s="8"/>
      <c r="G781" s="8"/>
      <c r="H781" s="9"/>
      <c r="I781" s="9"/>
      <c r="J781" s="9"/>
      <c r="K781" s="9"/>
      <c r="L781" s="9"/>
      <c r="M781" s="9"/>
      <c r="N781" s="9"/>
      <c r="O781" s="9"/>
      <c r="P781" s="9"/>
    </row>
    <row r="782" ht="30.0" customHeight="1">
      <c r="A782" s="5"/>
      <c r="B782" s="5"/>
      <c r="C782" s="6"/>
      <c r="D782" s="18"/>
      <c r="E782" s="8"/>
      <c r="F782" s="8"/>
      <c r="G782" s="8"/>
      <c r="H782" s="9"/>
      <c r="I782" s="9"/>
      <c r="J782" s="9"/>
      <c r="K782" s="9"/>
      <c r="L782" s="9"/>
      <c r="M782" s="9"/>
      <c r="N782" s="9"/>
      <c r="O782" s="9"/>
      <c r="P782" s="9"/>
    </row>
    <row r="783" ht="30.0" customHeight="1">
      <c r="A783" s="5"/>
      <c r="B783" s="5"/>
      <c r="C783" s="6"/>
      <c r="D783" s="18"/>
      <c r="E783" s="8"/>
      <c r="F783" s="8"/>
      <c r="G783" s="8"/>
      <c r="H783" s="9"/>
      <c r="I783" s="9"/>
      <c r="J783" s="9"/>
      <c r="K783" s="9"/>
      <c r="L783" s="9"/>
      <c r="M783" s="9"/>
      <c r="N783" s="9"/>
      <c r="O783" s="9"/>
      <c r="P783" s="9"/>
    </row>
    <row r="784" ht="30.0" customHeight="1">
      <c r="A784" s="5"/>
      <c r="B784" s="5"/>
      <c r="C784" s="6"/>
      <c r="D784" s="18"/>
      <c r="E784" s="8"/>
      <c r="F784" s="8"/>
      <c r="G784" s="8"/>
      <c r="H784" s="9"/>
      <c r="I784" s="9"/>
      <c r="J784" s="9"/>
      <c r="K784" s="9"/>
      <c r="L784" s="9"/>
      <c r="M784" s="9"/>
      <c r="N784" s="9"/>
      <c r="O784" s="9"/>
      <c r="P784" s="9"/>
    </row>
    <row r="785" ht="30.0" customHeight="1">
      <c r="A785" s="5"/>
      <c r="B785" s="5"/>
      <c r="C785" s="6"/>
      <c r="D785" s="18"/>
      <c r="E785" s="8"/>
      <c r="F785" s="8"/>
      <c r="G785" s="8"/>
      <c r="H785" s="9"/>
      <c r="I785" s="9"/>
      <c r="J785" s="9"/>
      <c r="K785" s="9"/>
      <c r="L785" s="9"/>
      <c r="M785" s="9"/>
      <c r="N785" s="9"/>
      <c r="O785" s="9"/>
      <c r="P785" s="9"/>
    </row>
    <row r="786" ht="30.0" customHeight="1">
      <c r="A786" s="5"/>
      <c r="B786" s="5"/>
      <c r="C786" s="6"/>
      <c r="D786" s="18"/>
      <c r="E786" s="8"/>
      <c r="F786" s="8"/>
      <c r="G786" s="8"/>
      <c r="H786" s="9"/>
      <c r="I786" s="9"/>
      <c r="J786" s="9"/>
      <c r="K786" s="9"/>
      <c r="L786" s="9"/>
      <c r="M786" s="9"/>
      <c r="N786" s="9"/>
      <c r="O786" s="9"/>
      <c r="P786" s="9"/>
    </row>
    <row r="787" ht="30.0" customHeight="1">
      <c r="A787" s="5"/>
      <c r="B787" s="5"/>
      <c r="C787" s="6"/>
      <c r="D787" s="18"/>
      <c r="E787" s="8"/>
      <c r="F787" s="8"/>
      <c r="G787" s="8"/>
      <c r="H787" s="9"/>
      <c r="I787" s="9"/>
      <c r="J787" s="9"/>
      <c r="K787" s="9"/>
      <c r="L787" s="9"/>
      <c r="M787" s="9"/>
      <c r="N787" s="9"/>
      <c r="O787" s="9"/>
      <c r="P787" s="9"/>
    </row>
    <row r="788" ht="30.0" customHeight="1">
      <c r="A788" s="5"/>
      <c r="B788" s="5"/>
      <c r="C788" s="6"/>
      <c r="D788" s="18"/>
      <c r="E788" s="8"/>
      <c r="F788" s="8"/>
      <c r="G788" s="8"/>
      <c r="H788" s="9"/>
      <c r="I788" s="9"/>
      <c r="J788" s="9"/>
      <c r="K788" s="9"/>
      <c r="L788" s="9"/>
      <c r="M788" s="9"/>
      <c r="N788" s="9"/>
      <c r="O788" s="9"/>
      <c r="P788" s="9"/>
    </row>
    <row r="789" ht="30.0" customHeight="1">
      <c r="A789" s="5"/>
      <c r="B789" s="5"/>
      <c r="C789" s="6"/>
      <c r="D789" s="18"/>
      <c r="E789" s="8"/>
      <c r="F789" s="8"/>
      <c r="G789" s="8"/>
      <c r="H789" s="9"/>
      <c r="I789" s="9"/>
      <c r="J789" s="9"/>
      <c r="K789" s="9"/>
      <c r="L789" s="9"/>
      <c r="M789" s="9"/>
      <c r="N789" s="9"/>
      <c r="O789" s="9"/>
      <c r="P789" s="9"/>
    </row>
    <row r="790" ht="30.0" customHeight="1">
      <c r="A790" s="5"/>
      <c r="B790" s="5"/>
      <c r="C790" s="6"/>
      <c r="D790" s="18"/>
      <c r="E790" s="8"/>
      <c r="F790" s="8"/>
      <c r="G790" s="8"/>
      <c r="H790" s="9"/>
      <c r="I790" s="9"/>
      <c r="J790" s="9"/>
      <c r="K790" s="9"/>
      <c r="L790" s="9"/>
      <c r="M790" s="9"/>
      <c r="N790" s="9"/>
      <c r="O790" s="9"/>
      <c r="P790" s="9"/>
    </row>
    <row r="791" ht="30.0" customHeight="1">
      <c r="A791" s="5"/>
      <c r="B791" s="5"/>
      <c r="C791" s="6"/>
      <c r="D791" s="18"/>
      <c r="E791" s="8"/>
      <c r="F791" s="8"/>
      <c r="G791" s="8"/>
      <c r="H791" s="9"/>
      <c r="I791" s="9"/>
      <c r="J791" s="9"/>
      <c r="K791" s="9"/>
      <c r="L791" s="9"/>
      <c r="M791" s="9"/>
      <c r="N791" s="9"/>
      <c r="O791" s="9"/>
      <c r="P791" s="9"/>
    </row>
    <row r="792" ht="30.0" customHeight="1">
      <c r="A792" s="5"/>
      <c r="B792" s="5"/>
      <c r="C792" s="6"/>
      <c r="D792" s="18"/>
      <c r="E792" s="8"/>
      <c r="F792" s="8"/>
      <c r="G792" s="8"/>
      <c r="H792" s="9"/>
      <c r="I792" s="9"/>
      <c r="J792" s="9"/>
      <c r="K792" s="9"/>
      <c r="L792" s="9"/>
      <c r="M792" s="9"/>
      <c r="N792" s="9"/>
      <c r="O792" s="9"/>
      <c r="P792" s="9"/>
    </row>
    <row r="793" ht="30.0" customHeight="1">
      <c r="A793" s="5"/>
      <c r="B793" s="5"/>
      <c r="C793" s="6"/>
      <c r="D793" s="18"/>
      <c r="E793" s="8"/>
      <c r="F793" s="8"/>
      <c r="G793" s="8"/>
      <c r="H793" s="9"/>
      <c r="I793" s="9"/>
      <c r="J793" s="9"/>
      <c r="K793" s="9"/>
      <c r="L793" s="9"/>
      <c r="M793" s="9"/>
      <c r="N793" s="9"/>
      <c r="O793" s="9"/>
      <c r="P793" s="9"/>
    </row>
    <row r="794" ht="30.0" customHeight="1">
      <c r="A794" s="5"/>
      <c r="B794" s="5"/>
      <c r="C794" s="6"/>
      <c r="D794" s="18"/>
      <c r="E794" s="8"/>
      <c r="F794" s="8"/>
      <c r="G794" s="8"/>
      <c r="H794" s="9"/>
      <c r="I794" s="9"/>
      <c r="J794" s="9"/>
      <c r="K794" s="9"/>
      <c r="L794" s="9"/>
      <c r="M794" s="9"/>
      <c r="N794" s="9"/>
      <c r="O794" s="9"/>
      <c r="P794" s="9"/>
    </row>
    <row r="795" ht="30.0" customHeight="1">
      <c r="A795" s="5"/>
      <c r="B795" s="5"/>
      <c r="C795" s="6"/>
      <c r="D795" s="18"/>
      <c r="E795" s="8"/>
      <c r="F795" s="8"/>
      <c r="G795" s="8"/>
      <c r="H795" s="9"/>
      <c r="I795" s="9"/>
      <c r="J795" s="9"/>
      <c r="K795" s="9"/>
      <c r="L795" s="9"/>
      <c r="M795" s="9"/>
      <c r="N795" s="9"/>
      <c r="O795" s="9"/>
      <c r="P795" s="9"/>
    </row>
    <row r="796" ht="30.0" customHeight="1">
      <c r="A796" s="5"/>
      <c r="B796" s="5"/>
      <c r="C796" s="6"/>
      <c r="D796" s="18"/>
      <c r="E796" s="8"/>
      <c r="F796" s="8"/>
      <c r="G796" s="8"/>
      <c r="H796" s="9"/>
      <c r="I796" s="9"/>
      <c r="J796" s="9"/>
      <c r="K796" s="9"/>
      <c r="L796" s="9"/>
      <c r="M796" s="9"/>
      <c r="N796" s="9"/>
      <c r="O796" s="9"/>
      <c r="P796" s="9"/>
    </row>
    <row r="797" ht="30.0" customHeight="1">
      <c r="A797" s="5"/>
      <c r="B797" s="5"/>
      <c r="C797" s="6"/>
      <c r="D797" s="18"/>
      <c r="E797" s="8"/>
      <c r="F797" s="8"/>
      <c r="G797" s="8"/>
      <c r="H797" s="9"/>
      <c r="I797" s="9"/>
      <c r="J797" s="9"/>
      <c r="K797" s="9"/>
      <c r="L797" s="9"/>
      <c r="M797" s="9"/>
      <c r="N797" s="9"/>
      <c r="O797" s="9"/>
      <c r="P797" s="9"/>
    </row>
    <row r="798" ht="30.0" customHeight="1">
      <c r="A798" s="5"/>
      <c r="B798" s="5"/>
      <c r="C798" s="6"/>
      <c r="D798" s="18"/>
      <c r="E798" s="8"/>
      <c r="F798" s="8"/>
      <c r="G798" s="8"/>
      <c r="H798" s="9"/>
      <c r="I798" s="9"/>
      <c r="J798" s="9"/>
      <c r="K798" s="9"/>
      <c r="L798" s="9"/>
      <c r="M798" s="9"/>
      <c r="N798" s="9"/>
      <c r="O798" s="9"/>
      <c r="P798" s="9"/>
    </row>
    <row r="799" ht="30.0" customHeight="1">
      <c r="A799" s="5"/>
      <c r="B799" s="5"/>
      <c r="C799" s="6"/>
      <c r="D799" s="18"/>
      <c r="E799" s="8"/>
      <c r="F799" s="8"/>
      <c r="G799" s="8"/>
      <c r="H799" s="9"/>
      <c r="I799" s="9"/>
      <c r="J799" s="9"/>
      <c r="K799" s="9"/>
      <c r="L799" s="9"/>
      <c r="M799" s="9"/>
      <c r="N799" s="9"/>
      <c r="O799" s="9"/>
      <c r="P799" s="9"/>
    </row>
    <row r="800" ht="30.0" customHeight="1">
      <c r="A800" s="5"/>
      <c r="B800" s="5"/>
      <c r="C800" s="6"/>
      <c r="D800" s="18"/>
      <c r="E800" s="8"/>
      <c r="F800" s="8"/>
      <c r="G800" s="8"/>
      <c r="H800" s="9"/>
      <c r="I800" s="9"/>
      <c r="J800" s="9"/>
      <c r="K800" s="9"/>
      <c r="L800" s="9"/>
      <c r="M800" s="9"/>
      <c r="N800" s="9"/>
      <c r="O800" s="9"/>
      <c r="P800" s="9"/>
    </row>
    <row r="801" ht="30.0" customHeight="1">
      <c r="A801" s="5"/>
      <c r="B801" s="5"/>
      <c r="C801" s="6"/>
      <c r="D801" s="18"/>
      <c r="E801" s="8"/>
      <c r="F801" s="8"/>
      <c r="G801" s="8"/>
      <c r="H801" s="9"/>
      <c r="I801" s="9"/>
      <c r="J801" s="9"/>
      <c r="K801" s="9"/>
      <c r="L801" s="9"/>
      <c r="M801" s="9"/>
      <c r="N801" s="9"/>
      <c r="O801" s="9"/>
      <c r="P801" s="9"/>
    </row>
    <row r="802" ht="30.0" customHeight="1">
      <c r="A802" s="5"/>
      <c r="B802" s="5"/>
      <c r="C802" s="6"/>
      <c r="D802" s="18"/>
      <c r="E802" s="8"/>
      <c r="F802" s="8"/>
      <c r="G802" s="8"/>
      <c r="H802" s="9"/>
      <c r="I802" s="9"/>
      <c r="J802" s="9"/>
      <c r="K802" s="9"/>
      <c r="L802" s="9"/>
      <c r="M802" s="9"/>
      <c r="N802" s="9"/>
      <c r="O802" s="9"/>
      <c r="P802" s="9"/>
    </row>
    <row r="803" ht="30.0" customHeight="1">
      <c r="A803" s="5"/>
      <c r="B803" s="5"/>
      <c r="C803" s="6"/>
      <c r="D803" s="18"/>
      <c r="E803" s="8"/>
      <c r="F803" s="8"/>
      <c r="G803" s="8"/>
      <c r="H803" s="9"/>
      <c r="I803" s="9"/>
      <c r="J803" s="9"/>
      <c r="K803" s="9"/>
      <c r="L803" s="9"/>
      <c r="M803" s="9"/>
      <c r="N803" s="9"/>
      <c r="O803" s="9"/>
      <c r="P803" s="9"/>
    </row>
    <row r="804" ht="30.0" customHeight="1">
      <c r="A804" s="5"/>
      <c r="B804" s="5"/>
      <c r="C804" s="6"/>
      <c r="D804" s="18"/>
      <c r="E804" s="8"/>
      <c r="F804" s="8"/>
      <c r="G804" s="8"/>
      <c r="H804" s="9"/>
      <c r="I804" s="9"/>
      <c r="J804" s="9"/>
      <c r="K804" s="9"/>
      <c r="L804" s="9"/>
      <c r="M804" s="9"/>
      <c r="N804" s="9"/>
      <c r="O804" s="9"/>
      <c r="P804" s="9"/>
    </row>
    <row r="805" ht="30.0" customHeight="1">
      <c r="A805" s="5"/>
      <c r="B805" s="5"/>
      <c r="C805" s="6"/>
      <c r="D805" s="18"/>
      <c r="E805" s="8"/>
      <c r="F805" s="8"/>
      <c r="G805" s="8"/>
      <c r="H805" s="9"/>
      <c r="I805" s="9"/>
      <c r="J805" s="9"/>
      <c r="K805" s="9"/>
      <c r="L805" s="9"/>
      <c r="M805" s="9"/>
      <c r="N805" s="9"/>
      <c r="O805" s="9"/>
      <c r="P805" s="9"/>
    </row>
    <row r="806" ht="30.0" customHeight="1">
      <c r="A806" s="5"/>
      <c r="B806" s="5"/>
      <c r="C806" s="6"/>
      <c r="D806" s="18"/>
      <c r="E806" s="8"/>
      <c r="F806" s="8"/>
      <c r="G806" s="8"/>
      <c r="H806" s="9"/>
      <c r="I806" s="9"/>
      <c r="J806" s="9"/>
      <c r="K806" s="9"/>
      <c r="L806" s="9"/>
      <c r="M806" s="9"/>
      <c r="N806" s="9"/>
      <c r="O806" s="9"/>
      <c r="P806" s="9"/>
    </row>
    <row r="807" ht="30.0" customHeight="1">
      <c r="A807" s="5"/>
      <c r="B807" s="5"/>
      <c r="C807" s="6"/>
      <c r="D807" s="18"/>
      <c r="E807" s="8"/>
      <c r="F807" s="8"/>
      <c r="G807" s="8"/>
      <c r="H807" s="9"/>
      <c r="I807" s="9"/>
      <c r="J807" s="9"/>
      <c r="K807" s="9"/>
      <c r="L807" s="9"/>
      <c r="M807" s="9"/>
      <c r="N807" s="9"/>
      <c r="O807" s="9"/>
      <c r="P807" s="9"/>
    </row>
    <row r="808" ht="30.0" customHeight="1">
      <c r="A808" s="5"/>
      <c r="B808" s="5"/>
      <c r="C808" s="6"/>
      <c r="D808" s="18"/>
      <c r="E808" s="8"/>
      <c r="F808" s="8"/>
      <c r="G808" s="8"/>
      <c r="H808" s="9"/>
      <c r="I808" s="9"/>
      <c r="J808" s="9"/>
      <c r="K808" s="9"/>
      <c r="L808" s="9"/>
      <c r="M808" s="9"/>
      <c r="N808" s="9"/>
      <c r="O808" s="9"/>
      <c r="P808" s="9"/>
    </row>
    <row r="809" ht="30.0" customHeight="1">
      <c r="A809" s="5"/>
      <c r="B809" s="5"/>
      <c r="C809" s="6"/>
      <c r="D809" s="18"/>
      <c r="E809" s="8"/>
      <c r="F809" s="8"/>
      <c r="G809" s="8"/>
      <c r="H809" s="9"/>
      <c r="I809" s="9"/>
      <c r="J809" s="9"/>
      <c r="K809" s="9"/>
      <c r="L809" s="9"/>
      <c r="M809" s="9"/>
      <c r="N809" s="9"/>
      <c r="O809" s="9"/>
      <c r="P809" s="9"/>
    </row>
    <row r="810" ht="30.0" customHeight="1">
      <c r="A810" s="5"/>
      <c r="B810" s="5"/>
      <c r="C810" s="6"/>
      <c r="D810" s="18"/>
      <c r="E810" s="8"/>
      <c r="F810" s="8"/>
      <c r="G810" s="8"/>
      <c r="H810" s="9"/>
      <c r="I810" s="9"/>
      <c r="J810" s="9"/>
      <c r="K810" s="9"/>
      <c r="L810" s="9"/>
      <c r="M810" s="9"/>
      <c r="N810" s="9"/>
      <c r="O810" s="9"/>
      <c r="P810" s="9"/>
    </row>
    <row r="811" ht="30.0" customHeight="1">
      <c r="A811" s="5"/>
      <c r="B811" s="5"/>
      <c r="C811" s="6"/>
      <c r="D811" s="18"/>
      <c r="E811" s="8"/>
      <c r="F811" s="8"/>
      <c r="G811" s="8"/>
      <c r="H811" s="9"/>
      <c r="I811" s="9"/>
      <c r="J811" s="9"/>
      <c r="K811" s="9"/>
      <c r="L811" s="9"/>
      <c r="M811" s="9"/>
      <c r="N811" s="9"/>
      <c r="O811" s="9"/>
      <c r="P811" s="9"/>
    </row>
    <row r="812" ht="30.0" customHeight="1">
      <c r="A812" s="5"/>
      <c r="B812" s="5"/>
      <c r="C812" s="6"/>
      <c r="D812" s="18"/>
      <c r="E812" s="8"/>
      <c r="F812" s="8"/>
      <c r="G812" s="8"/>
      <c r="H812" s="9"/>
      <c r="I812" s="9"/>
      <c r="J812" s="9"/>
      <c r="K812" s="9"/>
      <c r="L812" s="9"/>
      <c r="M812" s="9"/>
      <c r="N812" s="9"/>
      <c r="O812" s="9"/>
      <c r="P812" s="9"/>
    </row>
    <row r="813" ht="30.0" customHeight="1">
      <c r="A813" s="5"/>
      <c r="B813" s="5"/>
      <c r="C813" s="6"/>
      <c r="D813" s="18"/>
      <c r="E813" s="8"/>
      <c r="F813" s="8"/>
      <c r="G813" s="8"/>
      <c r="H813" s="9"/>
      <c r="I813" s="9"/>
      <c r="J813" s="9"/>
      <c r="K813" s="9"/>
      <c r="L813" s="9"/>
      <c r="M813" s="9"/>
      <c r="N813" s="9"/>
      <c r="O813" s="9"/>
      <c r="P813" s="9"/>
    </row>
    <row r="814" ht="30.0" customHeight="1">
      <c r="A814" s="5"/>
      <c r="B814" s="5"/>
      <c r="C814" s="6"/>
      <c r="D814" s="18"/>
      <c r="E814" s="8"/>
      <c r="F814" s="8"/>
      <c r="G814" s="8"/>
      <c r="H814" s="9"/>
      <c r="I814" s="9"/>
      <c r="J814" s="9"/>
      <c r="K814" s="9"/>
      <c r="L814" s="9"/>
      <c r="M814" s="9"/>
      <c r="N814" s="9"/>
      <c r="O814" s="9"/>
      <c r="P814" s="9"/>
    </row>
    <row r="815" ht="30.0" customHeight="1">
      <c r="A815" s="5"/>
      <c r="B815" s="5"/>
      <c r="C815" s="6"/>
      <c r="D815" s="18"/>
      <c r="E815" s="8"/>
      <c r="F815" s="8"/>
      <c r="G815" s="8"/>
      <c r="H815" s="9"/>
      <c r="I815" s="9"/>
      <c r="J815" s="9"/>
      <c r="K815" s="9"/>
      <c r="L815" s="9"/>
      <c r="M815" s="9"/>
      <c r="N815" s="9"/>
      <c r="O815" s="9"/>
      <c r="P815" s="9"/>
    </row>
    <row r="816" ht="30.0" customHeight="1">
      <c r="A816" s="5"/>
      <c r="B816" s="5"/>
      <c r="C816" s="6"/>
      <c r="D816" s="18"/>
      <c r="E816" s="8"/>
      <c r="F816" s="8"/>
      <c r="G816" s="8"/>
      <c r="H816" s="9"/>
      <c r="I816" s="9"/>
      <c r="J816" s="9"/>
      <c r="K816" s="9"/>
      <c r="L816" s="9"/>
      <c r="M816" s="9"/>
      <c r="N816" s="9"/>
      <c r="O816" s="9"/>
      <c r="P816" s="9"/>
    </row>
    <row r="817" ht="30.0" customHeight="1">
      <c r="A817" s="5"/>
      <c r="B817" s="5"/>
      <c r="C817" s="6"/>
      <c r="D817" s="18"/>
      <c r="E817" s="8"/>
      <c r="F817" s="8"/>
      <c r="G817" s="8"/>
      <c r="H817" s="9"/>
      <c r="I817" s="9"/>
      <c r="J817" s="9"/>
      <c r="K817" s="9"/>
      <c r="L817" s="9"/>
      <c r="M817" s="9"/>
      <c r="N817" s="9"/>
      <c r="O817" s="9"/>
      <c r="P817" s="9"/>
    </row>
    <row r="818" ht="30.0" customHeight="1">
      <c r="A818" s="5"/>
      <c r="B818" s="5"/>
      <c r="C818" s="6"/>
      <c r="D818" s="18"/>
      <c r="E818" s="8"/>
      <c r="F818" s="8"/>
      <c r="G818" s="8"/>
      <c r="H818" s="9"/>
      <c r="I818" s="9"/>
      <c r="J818" s="9"/>
      <c r="K818" s="9"/>
      <c r="L818" s="9"/>
      <c r="M818" s="9"/>
      <c r="N818" s="9"/>
      <c r="O818" s="9"/>
      <c r="P818" s="9"/>
    </row>
    <row r="819" ht="30.0" customHeight="1">
      <c r="A819" s="5"/>
      <c r="B819" s="5"/>
      <c r="C819" s="6"/>
      <c r="D819" s="18"/>
      <c r="E819" s="8"/>
      <c r="F819" s="8"/>
      <c r="G819" s="8"/>
      <c r="H819" s="9"/>
      <c r="I819" s="9"/>
      <c r="J819" s="9"/>
      <c r="K819" s="9"/>
      <c r="L819" s="9"/>
      <c r="M819" s="9"/>
      <c r="N819" s="9"/>
      <c r="O819" s="9"/>
      <c r="P819" s="9"/>
    </row>
    <row r="820" ht="30.0" customHeight="1">
      <c r="A820" s="5"/>
      <c r="B820" s="5"/>
      <c r="C820" s="6"/>
      <c r="D820" s="18"/>
      <c r="E820" s="8"/>
      <c r="F820" s="8"/>
      <c r="G820" s="8"/>
      <c r="H820" s="9"/>
      <c r="I820" s="9"/>
      <c r="J820" s="9"/>
      <c r="K820" s="9"/>
      <c r="L820" s="9"/>
      <c r="M820" s="9"/>
      <c r="N820" s="9"/>
      <c r="O820" s="9"/>
      <c r="P820" s="9"/>
    </row>
    <row r="821" ht="30.0" customHeight="1">
      <c r="A821" s="5"/>
      <c r="B821" s="5"/>
      <c r="C821" s="6"/>
      <c r="D821" s="18"/>
      <c r="E821" s="8"/>
      <c r="F821" s="8"/>
      <c r="G821" s="8"/>
      <c r="H821" s="9"/>
      <c r="I821" s="9"/>
      <c r="J821" s="9"/>
      <c r="K821" s="9"/>
      <c r="L821" s="9"/>
      <c r="M821" s="9"/>
      <c r="N821" s="9"/>
      <c r="O821" s="9"/>
      <c r="P821" s="9"/>
    </row>
    <row r="822" ht="30.0" customHeight="1">
      <c r="A822" s="5"/>
      <c r="B822" s="5"/>
      <c r="C822" s="6"/>
      <c r="D822" s="18"/>
      <c r="E822" s="8"/>
      <c r="F822" s="8"/>
      <c r="G822" s="8"/>
      <c r="H822" s="9"/>
      <c r="I822" s="9"/>
      <c r="J822" s="9"/>
      <c r="K822" s="9"/>
      <c r="L822" s="9"/>
      <c r="M822" s="9"/>
      <c r="N822" s="9"/>
      <c r="O822" s="9"/>
      <c r="P822" s="9"/>
    </row>
    <row r="823" ht="30.0" customHeight="1">
      <c r="A823" s="5"/>
      <c r="B823" s="5"/>
      <c r="C823" s="6"/>
      <c r="D823" s="18"/>
      <c r="E823" s="8"/>
      <c r="F823" s="8"/>
      <c r="G823" s="8"/>
      <c r="H823" s="9"/>
      <c r="I823" s="9"/>
      <c r="J823" s="9"/>
      <c r="K823" s="9"/>
      <c r="L823" s="9"/>
      <c r="M823" s="9"/>
      <c r="N823" s="9"/>
      <c r="O823" s="9"/>
      <c r="P823" s="9"/>
    </row>
    <row r="824" ht="30.0" customHeight="1">
      <c r="A824" s="5"/>
      <c r="B824" s="5"/>
      <c r="C824" s="6"/>
      <c r="D824" s="18"/>
      <c r="E824" s="8"/>
      <c r="F824" s="8"/>
      <c r="G824" s="8"/>
      <c r="H824" s="9"/>
      <c r="I824" s="9"/>
      <c r="J824" s="9"/>
      <c r="K824" s="9"/>
      <c r="L824" s="9"/>
      <c r="M824" s="9"/>
      <c r="N824" s="9"/>
      <c r="O824" s="9"/>
      <c r="P824" s="9"/>
    </row>
    <row r="825" ht="30.0" customHeight="1">
      <c r="A825" s="5"/>
      <c r="B825" s="5"/>
      <c r="C825" s="6"/>
      <c r="D825" s="18"/>
      <c r="E825" s="8"/>
      <c r="F825" s="8"/>
      <c r="G825" s="8"/>
      <c r="H825" s="9"/>
      <c r="I825" s="9"/>
      <c r="J825" s="9"/>
      <c r="K825" s="9"/>
      <c r="L825" s="9"/>
      <c r="M825" s="9"/>
      <c r="N825" s="9"/>
      <c r="O825" s="9"/>
      <c r="P825" s="9"/>
    </row>
    <row r="826" ht="30.0" customHeight="1">
      <c r="A826" s="5"/>
      <c r="B826" s="5"/>
      <c r="C826" s="6"/>
      <c r="D826" s="18"/>
      <c r="E826" s="8"/>
      <c r="F826" s="8"/>
      <c r="G826" s="8"/>
      <c r="H826" s="9"/>
      <c r="I826" s="9"/>
      <c r="J826" s="9"/>
      <c r="K826" s="9"/>
      <c r="L826" s="9"/>
      <c r="M826" s="9"/>
      <c r="N826" s="9"/>
      <c r="O826" s="9"/>
      <c r="P826" s="9"/>
    </row>
    <row r="827" ht="30.0" customHeight="1">
      <c r="A827" s="5"/>
      <c r="B827" s="5"/>
      <c r="C827" s="6"/>
      <c r="D827" s="18"/>
      <c r="E827" s="8"/>
      <c r="F827" s="8"/>
      <c r="G827" s="8"/>
      <c r="H827" s="9"/>
      <c r="I827" s="9"/>
      <c r="J827" s="9"/>
      <c r="K827" s="9"/>
      <c r="L827" s="9"/>
      <c r="M827" s="9"/>
      <c r="N827" s="9"/>
      <c r="O827" s="9"/>
      <c r="P827" s="9"/>
    </row>
    <row r="828" ht="30.0" customHeight="1">
      <c r="A828" s="5"/>
      <c r="B828" s="5"/>
      <c r="C828" s="6"/>
      <c r="D828" s="18"/>
      <c r="E828" s="8"/>
      <c r="F828" s="8"/>
      <c r="G828" s="8"/>
      <c r="H828" s="9"/>
      <c r="I828" s="9"/>
      <c r="J828" s="9"/>
      <c r="K828" s="9"/>
      <c r="L828" s="9"/>
      <c r="M828" s="9"/>
      <c r="N828" s="9"/>
      <c r="O828" s="9"/>
      <c r="P828" s="9"/>
    </row>
    <row r="829" ht="30.0" customHeight="1">
      <c r="A829" s="5"/>
      <c r="B829" s="5"/>
      <c r="C829" s="6"/>
      <c r="D829" s="18"/>
      <c r="E829" s="8"/>
      <c r="F829" s="8"/>
      <c r="G829" s="8"/>
      <c r="H829" s="9"/>
      <c r="I829" s="9"/>
      <c r="J829" s="9"/>
      <c r="K829" s="9"/>
      <c r="L829" s="9"/>
      <c r="M829" s="9"/>
      <c r="N829" s="9"/>
      <c r="O829" s="9"/>
      <c r="P829" s="9"/>
    </row>
    <row r="830" ht="30.0" customHeight="1">
      <c r="A830" s="5"/>
      <c r="B830" s="5"/>
      <c r="C830" s="6"/>
      <c r="D830" s="18"/>
      <c r="E830" s="8"/>
      <c r="F830" s="8"/>
      <c r="G830" s="8"/>
      <c r="H830" s="9"/>
      <c r="I830" s="9"/>
      <c r="J830" s="9"/>
      <c r="K830" s="9"/>
      <c r="L830" s="9"/>
      <c r="M830" s="9"/>
      <c r="N830" s="9"/>
      <c r="O830" s="9"/>
      <c r="P830" s="9"/>
    </row>
    <row r="831" ht="30.0" customHeight="1">
      <c r="A831" s="5"/>
      <c r="B831" s="5"/>
      <c r="C831" s="6"/>
      <c r="D831" s="18"/>
      <c r="E831" s="8"/>
      <c r="F831" s="8"/>
      <c r="G831" s="8"/>
      <c r="H831" s="9"/>
      <c r="I831" s="9"/>
      <c r="J831" s="9"/>
      <c r="K831" s="9"/>
      <c r="L831" s="9"/>
      <c r="M831" s="9"/>
      <c r="N831" s="9"/>
      <c r="O831" s="9"/>
      <c r="P831" s="9"/>
    </row>
    <row r="832" ht="30.0" customHeight="1">
      <c r="A832" s="5"/>
      <c r="B832" s="5"/>
      <c r="C832" s="6"/>
      <c r="D832" s="18"/>
      <c r="E832" s="8"/>
      <c r="F832" s="8"/>
      <c r="G832" s="8"/>
      <c r="H832" s="9"/>
      <c r="I832" s="9"/>
      <c r="J832" s="9"/>
      <c r="K832" s="9"/>
      <c r="L832" s="9"/>
      <c r="M832" s="9"/>
      <c r="N832" s="9"/>
      <c r="O832" s="9"/>
      <c r="P832" s="9"/>
    </row>
    <row r="833" ht="30.0" customHeight="1">
      <c r="A833" s="5"/>
      <c r="B833" s="5"/>
      <c r="C833" s="6"/>
      <c r="D833" s="18"/>
      <c r="E833" s="8"/>
      <c r="F833" s="8"/>
      <c r="G833" s="8"/>
      <c r="H833" s="9"/>
      <c r="I833" s="9"/>
      <c r="J833" s="9"/>
      <c r="K833" s="9"/>
      <c r="L833" s="9"/>
      <c r="M833" s="9"/>
      <c r="N833" s="9"/>
      <c r="O833" s="9"/>
      <c r="P833" s="9"/>
    </row>
    <row r="834" ht="30.0" customHeight="1">
      <c r="A834" s="5"/>
      <c r="B834" s="5"/>
      <c r="C834" s="6"/>
      <c r="D834" s="18"/>
      <c r="E834" s="8"/>
      <c r="F834" s="8"/>
      <c r="G834" s="8"/>
      <c r="H834" s="9"/>
      <c r="I834" s="9"/>
      <c r="J834" s="9"/>
      <c r="K834" s="9"/>
      <c r="L834" s="9"/>
      <c r="M834" s="9"/>
      <c r="N834" s="9"/>
      <c r="O834" s="9"/>
      <c r="P834" s="9"/>
    </row>
    <row r="835" ht="30.0" customHeight="1">
      <c r="A835" s="5"/>
      <c r="B835" s="5"/>
      <c r="C835" s="6"/>
      <c r="D835" s="18"/>
      <c r="E835" s="8"/>
      <c r="F835" s="8"/>
      <c r="G835" s="8"/>
      <c r="H835" s="9"/>
      <c r="I835" s="9"/>
      <c r="J835" s="9"/>
      <c r="K835" s="9"/>
      <c r="L835" s="9"/>
      <c r="M835" s="9"/>
      <c r="N835" s="9"/>
      <c r="O835" s="9"/>
      <c r="P835" s="9"/>
    </row>
    <row r="836" ht="30.0" customHeight="1">
      <c r="A836" s="5"/>
      <c r="B836" s="5"/>
      <c r="C836" s="6"/>
      <c r="D836" s="18"/>
      <c r="E836" s="8"/>
      <c r="F836" s="8"/>
      <c r="G836" s="8"/>
      <c r="H836" s="9"/>
      <c r="I836" s="9"/>
      <c r="J836" s="9"/>
      <c r="K836" s="9"/>
      <c r="L836" s="9"/>
      <c r="M836" s="9"/>
      <c r="N836" s="9"/>
      <c r="O836" s="9"/>
      <c r="P836" s="9"/>
    </row>
    <row r="837" ht="30.0" customHeight="1">
      <c r="A837" s="5"/>
      <c r="B837" s="5"/>
      <c r="C837" s="6"/>
      <c r="D837" s="18"/>
      <c r="E837" s="8"/>
      <c r="F837" s="8"/>
      <c r="G837" s="8"/>
      <c r="H837" s="9"/>
      <c r="I837" s="9"/>
      <c r="J837" s="9"/>
      <c r="K837" s="9"/>
      <c r="L837" s="9"/>
      <c r="M837" s="9"/>
      <c r="N837" s="9"/>
      <c r="O837" s="9"/>
      <c r="P837" s="9"/>
    </row>
    <row r="838" ht="30.0" customHeight="1">
      <c r="A838" s="5"/>
      <c r="B838" s="5"/>
      <c r="C838" s="6"/>
      <c r="D838" s="18"/>
      <c r="E838" s="8"/>
      <c r="F838" s="8"/>
      <c r="G838" s="8"/>
      <c r="H838" s="9"/>
      <c r="I838" s="9"/>
      <c r="J838" s="9"/>
      <c r="K838" s="9"/>
      <c r="L838" s="9"/>
      <c r="M838" s="9"/>
      <c r="N838" s="9"/>
      <c r="O838" s="9"/>
      <c r="P838" s="9"/>
    </row>
    <row r="839" ht="30.0" customHeight="1">
      <c r="A839" s="5"/>
      <c r="B839" s="5"/>
      <c r="C839" s="6"/>
      <c r="D839" s="18"/>
      <c r="E839" s="8"/>
      <c r="F839" s="8"/>
      <c r="G839" s="8"/>
      <c r="H839" s="9"/>
      <c r="I839" s="9"/>
      <c r="J839" s="9"/>
      <c r="K839" s="9"/>
      <c r="L839" s="9"/>
      <c r="M839" s="9"/>
      <c r="N839" s="9"/>
      <c r="O839" s="9"/>
      <c r="P839" s="9"/>
    </row>
    <row r="840" ht="30.0" customHeight="1">
      <c r="A840" s="5"/>
      <c r="B840" s="5"/>
      <c r="C840" s="6"/>
      <c r="D840" s="18"/>
      <c r="E840" s="8"/>
      <c r="F840" s="8"/>
      <c r="G840" s="8"/>
      <c r="H840" s="9"/>
      <c r="I840" s="9"/>
      <c r="J840" s="9"/>
      <c r="K840" s="9"/>
      <c r="L840" s="9"/>
      <c r="M840" s="9"/>
      <c r="N840" s="9"/>
      <c r="O840" s="9"/>
      <c r="P840" s="9"/>
    </row>
    <row r="841" ht="30.0" customHeight="1">
      <c r="A841" s="5"/>
      <c r="B841" s="5"/>
      <c r="C841" s="6"/>
      <c r="D841" s="18"/>
      <c r="E841" s="8"/>
      <c r="F841" s="8"/>
      <c r="G841" s="8"/>
      <c r="H841" s="9"/>
      <c r="I841" s="9"/>
      <c r="J841" s="9"/>
      <c r="K841" s="9"/>
      <c r="L841" s="9"/>
      <c r="M841" s="9"/>
      <c r="N841" s="9"/>
      <c r="O841" s="9"/>
      <c r="P841" s="9"/>
    </row>
    <row r="842" ht="30.0" customHeight="1">
      <c r="A842" s="5"/>
      <c r="B842" s="5"/>
      <c r="C842" s="6"/>
      <c r="D842" s="18"/>
      <c r="E842" s="8"/>
      <c r="F842" s="8"/>
      <c r="G842" s="8"/>
      <c r="H842" s="9"/>
      <c r="I842" s="9"/>
      <c r="J842" s="9"/>
      <c r="K842" s="9"/>
      <c r="L842" s="9"/>
      <c r="M842" s="9"/>
      <c r="N842" s="9"/>
      <c r="O842" s="9"/>
      <c r="P842" s="9"/>
    </row>
    <row r="843" ht="30.0" customHeight="1">
      <c r="A843" s="5"/>
      <c r="B843" s="5"/>
      <c r="C843" s="6"/>
      <c r="D843" s="18"/>
      <c r="E843" s="8"/>
      <c r="F843" s="8"/>
      <c r="G843" s="8"/>
      <c r="H843" s="9"/>
      <c r="I843" s="9"/>
      <c r="J843" s="9"/>
      <c r="K843" s="9"/>
      <c r="L843" s="9"/>
      <c r="M843" s="9"/>
      <c r="N843" s="9"/>
      <c r="O843" s="9"/>
      <c r="P843" s="9"/>
    </row>
    <row r="844" ht="30.0" customHeight="1">
      <c r="A844" s="5"/>
      <c r="B844" s="5"/>
      <c r="C844" s="6"/>
      <c r="D844" s="18"/>
      <c r="E844" s="8"/>
      <c r="F844" s="8"/>
      <c r="G844" s="8"/>
      <c r="H844" s="9"/>
      <c r="I844" s="9"/>
      <c r="J844" s="9"/>
      <c r="K844" s="9"/>
      <c r="L844" s="9"/>
      <c r="M844" s="9"/>
      <c r="N844" s="9"/>
      <c r="O844" s="9"/>
      <c r="P844" s="9"/>
    </row>
    <row r="845" ht="30.0" customHeight="1">
      <c r="A845" s="5"/>
      <c r="B845" s="5"/>
      <c r="C845" s="6"/>
      <c r="D845" s="18"/>
      <c r="E845" s="8"/>
      <c r="F845" s="8"/>
      <c r="G845" s="8"/>
      <c r="H845" s="9"/>
      <c r="I845" s="9"/>
      <c r="J845" s="9"/>
      <c r="K845" s="9"/>
      <c r="L845" s="9"/>
      <c r="M845" s="9"/>
      <c r="N845" s="9"/>
      <c r="O845" s="9"/>
      <c r="P845" s="9"/>
    </row>
    <row r="846" ht="30.0" customHeight="1">
      <c r="A846" s="5"/>
      <c r="B846" s="5"/>
      <c r="C846" s="6"/>
      <c r="D846" s="18"/>
      <c r="E846" s="8"/>
      <c r="F846" s="8"/>
      <c r="G846" s="8"/>
      <c r="H846" s="9"/>
      <c r="I846" s="9"/>
      <c r="J846" s="9"/>
      <c r="K846" s="9"/>
      <c r="L846" s="9"/>
      <c r="M846" s="9"/>
      <c r="N846" s="9"/>
      <c r="O846" s="9"/>
      <c r="P846" s="9"/>
    </row>
    <row r="847" ht="30.0" customHeight="1">
      <c r="A847" s="5"/>
      <c r="B847" s="5"/>
      <c r="C847" s="6"/>
      <c r="D847" s="18"/>
      <c r="E847" s="8"/>
      <c r="F847" s="8"/>
      <c r="G847" s="8"/>
      <c r="H847" s="9"/>
      <c r="I847" s="9"/>
      <c r="J847" s="9"/>
      <c r="K847" s="9"/>
      <c r="L847" s="9"/>
      <c r="M847" s="9"/>
      <c r="N847" s="9"/>
      <c r="O847" s="9"/>
      <c r="P847" s="9"/>
    </row>
    <row r="848" ht="30.0" customHeight="1">
      <c r="A848" s="5"/>
      <c r="B848" s="5"/>
      <c r="C848" s="6"/>
      <c r="D848" s="18"/>
      <c r="E848" s="8"/>
      <c r="F848" s="8"/>
      <c r="G848" s="8"/>
      <c r="H848" s="9"/>
      <c r="I848" s="9"/>
      <c r="J848" s="9"/>
      <c r="K848" s="9"/>
      <c r="L848" s="9"/>
      <c r="M848" s="9"/>
      <c r="N848" s="9"/>
      <c r="O848" s="9"/>
      <c r="P848" s="9"/>
    </row>
    <row r="849" ht="30.0" customHeight="1">
      <c r="A849" s="5"/>
      <c r="B849" s="5"/>
      <c r="C849" s="6"/>
      <c r="D849" s="18"/>
      <c r="E849" s="8"/>
      <c r="F849" s="8"/>
      <c r="G849" s="8"/>
      <c r="H849" s="9"/>
      <c r="I849" s="9"/>
      <c r="J849" s="9"/>
      <c r="K849" s="9"/>
      <c r="L849" s="9"/>
      <c r="M849" s="9"/>
      <c r="N849" s="9"/>
      <c r="O849" s="9"/>
      <c r="P849" s="9"/>
    </row>
    <row r="850" ht="30.0" customHeight="1">
      <c r="A850" s="5"/>
      <c r="B850" s="5"/>
      <c r="C850" s="6"/>
      <c r="D850" s="18"/>
      <c r="E850" s="8"/>
      <c r="F850" s="8"/>
      <c r="G850" s="8"/>
      <c r="H850" s="9"/>
      <c r="I850" s="9"/>
      <c r="J850" s="9"/>
      <c r="K850" s="9"/>
      <c r="L850" s="9"/>
      <c r="M850" s="9"/>
      <c r="N850" s="9"/>
      <c r="O850" s="9"/>
      <c r="P850" s="9"/>
    </row>
    <row r="851" ht="30.0" customHeight="1">
      <c r="A851" s="5"/>
      <c r="B851" s="5"/>
      <c r="C851" s="6"/>
      <c r="D851" s="18"/>
      <c r="E851" s="8"/>
      <c r="F851" s="8"/>
      <c r="G851" s="8"/>
      <c r="H851" s="9"/>
      <c r="I851" s="9"/>
      <c r="J851" s="9"/>
      <c r="K851" s="9"/>
      <c r="L851" s="9"/>
      <c r="M851" s="9"/>
      <c r="N851" s="9"/>
      <c r="O851" s="9"/>
      <c r="P851" s="9"/>
    </row>
    <row r="852" ht="30.0" customHeight="1">
      <c r="A852" s="5"/>
      <c r="B852" s="5"/>
      <c r="C852" s="6"/>
      <c r="D852" s="18"/>
      <c r="E852" s="8"/>
      <c r="F852" s="8"/>
      <c r="G852" s="8"/>
      <c r="H852" s="9"/>
      <c r="I852" s="9"/>
      <c r="J852" s="9"/>
      <c r="K852" s="9"/>
      <c r="L852" s="9"/>
      <c r="M852" s="9"/>
      <c r="N852" s="9"/>
      <c r="O852" s="9"/>
      <c r="P852" s="9"/>
    </row>
    <row r="853" ht="30.0" customHeight="1">
      <c r="A853" s="5"/>
      <c r="B853" s="5"/>
      <c r="C853" s="6"/>
      <c r="D853" s="18"/>
      <c r="E853" s="8"/>
      <c r="F853" s="8"/>
      <c r="G853" s="8"/>
      <c r="H853" s="9"/>
      <c r="I853" s="9"/>
      <c r="J853" s="9"/>
      <c r="K853" s="9"/>
      <c r="L853" s="9"/>
      <c r="M853" s="9"/>
      <c r="N853" s="9"/>
      <c r="O853" s="9"/>
      <c r="P853" s="9"/>
    </row>
    <row r="854" ht="30.0" customHeight="1">
      <c r="A854" s="5"/>
      <c r="B854" s="5"/>
      <c r="C854" s="6"/>
      <c r="D854" s="18"/>
      <c r="E854" s="8"/>
      <c r="F854" s="8"/>
      <c r="G854" s="8"/>
      <c r="H854" s="9"/>
      <c r="I854" s="9"/>
      <c r="J854" s="9"/>
      <c r="K854" s="9"/>
      <c r="L854" s="9"/>
      <c r="M854" s="9"/>
      <c r="N854" s="9"/>
      <c r="O854" s="9"/>
      <c r="P854" s="9"/>
    </row>
    <row r="855" ht="30.0" customHeight="1">
      <c r="A855" s="5"/>
      <c r="B855" s="5"/>
      <c r="C855" s="6"/>
      <c r="D855" s="18"/>
      <c r="E855" s="8"/>
      <c r="F855" s="8"/>
      <c r="G855" s="8"/>
      <c r="H855" s="9"/>
      <c r="I855" s="9"/>
      <c r="J855" s="9"/>
      <c r="K855" s="9"/>
      <c r="L855" s="9"/>
      <c r="M855" s="9"/>
      <c r="N855" s="9"/>
      <c r="O855" s="9"/>
      <c r="P855" s="9"/>
    </row>
    <row r="856" ht="30.0" customHeight="1">
      <c r="A856" s="5"/>
      <c r="B856" s="5"/>
      <c r="C856" s="6"/>
      <c r="D856" s="18"/>
      <c r="E856" s="8"/>
      <c r="F856" s="8"/>
      <c r="G856" s="8"/>
      <c r="H856" s="9"/>
      <c r="I856" s="9"/>
      <c r="J856" s="9"/>
      <c r="K856" s="9"/>
      <c r="L856" s="9"/>
      <c r="M856" s="9"/>
      <c r="N856" s="9"/>
      <c r="O856" s="9"/>
      <c r="P856" s="9"/>
    </row>
    <row r="857" ht="30.0" customHeight="1">
      <c r="A857" s="5"/>
      <c r="B857" s="5"/>
      <c r="C857" s="6"/>
      <c r="D857" s="18"/>
      <c r="E857" s="8"/>
      <c r="F857" s="8"/>
      <c r="G857" s="8"/>
      <c r="H857" s="9"/>
      <c r="I857" s="9"/>
      <c r="J857" s="9"/>
      <c r="K857" s="9"/>
      <c r="L857" s="9"/>
      <c r="M857" s="9"/>
      <c r="N857" s="9"/>
      <c r="O857" s="9"/>
      <c r="P857" s="9"/>
    </row>
    <row r="858" ht="30.0" customHeight="1">
      <c r="A858" s="5"/>
      <c r="B858" s="5"/>
      <c r="C858" s="6"/>
      <c r="D858" s="18"/>
      <c r="E858" s="8"/>
      <c r="F858" s="8"/>
      <c r="G858" s="8"/>
      <c r="H858" s="9"/>
      <c r="I858" s="9"/>
      <c r="J858" s="9"/>
      <c r="K858" s="9"/>
      <c r="L858" s="9"/>
      <c r="M858" s="9"/>
      <c r="N858" s="9"/>
      <c r="O858" s="9"/>
      <c r="P858" s="9"/>
    </row>
    <row r="859" ht="30.0" customHeight="1">
      <c r="A859" s="5"/>
      <c r="B859" s="5"/>
      <c r="C859" s="6"/>
      <c r="D859" s="18"/>
      <c r="E859" s="8"/>
      <c r="F859" s="8"/>
      <c r="G859" s="8"/>
      <c r="H859" s="9"/>
      <c r="I859" s="9"/>
      <c r="J859" s="9"/>
      <c r="K859" s="9"/>
      <c r="L859" s="9"/>
      <c r="M859" s="9"/>
      <c r="N859" s="9"/>
      <c r="O859" s="9"/>
      <c r="P859" s="9"/>
    </row>
    <row r="860" ht="30.0" customHeight="1">
      <c r="A860" s="5"/>
      <c r="B860" s="5"/>
      <c r="C860" s="6"/>
      <c r="D860" s="18"/>
      <c r="E860" s="8"/>
      <c r="F860" s="8"/>
      <c r="G860" s="8"/>
      <c r="H860" s="9"/>
      <c r="I860" s="9"/>
      <c r="J860" s="9"/>
      <c r="K860" s="9"/>
      <c r="L860" s="9"/>
      <c r="M860" s="9"/>
      <c r="N860" s="9"/>
      <c r="O860" s="9"/>
      <c r="P860" s="9"/>
    </row>
    <row r="861" ht="30.0" customHeight="1">
      <c r="A861" s="5"/>
      <c r="B861" s="5"/>
      <c r="C861" s="6"/>
      <c r="D861" s="18"/>
      <c r="E861" s="8"/>
      <c r="F861" s="8"/>
      <c r="G861" s="8"/>
      <c r="H861" s="9"/>
      <c r="I861" s="9"/>
      <c r="J861" s="9"/>
      <c r="K861" s="9"/>
      <c r="L861" s="9"/>
      <c r="M861" s="9"/>
      <c r="N861" s="9"/>
      <c r="O861" s="9"/>
      <c r="P861" s="9"/>
    </row>
    <row r="862" ht="30.0" customHeight="1">
      <c r="A862" s="5"/>
      <c r="B862" s="5"/>
      <c r="C862" s="6"/>
      <c r="D862" s="18"/>
      <c r="E862" s="8"/>
      <c r="F862" s="8"/>
      <c r="G862" s="8"/>
      <c r="H862" s="9"/>
      <c r="I862" s="9"/>
      <c r="J862" s="9"/>
      <c r="K862" s="9"/>
      <c r="L862" s="9"/>
      <c r="M862" s="9"/>
      <c r="N862" s="9"/>
      <c r="O862" s="9"/>
      <c r="P862" s="9"/>
    </row>
    <row r="863" ht="30.0" customHeight="1">
      <c r="A863" s="5"/>
      <c r="B863" s="5"/>
      <c r="C863" s="6"/>
      <c r="D863" s="18"/>
      <c r="E863" s="8"/>
      <c r="F863" s="8"/>
      <c r="G863" s="8"/>
      <c r="H863" s="9"/>
      <c r="I863" s="9"/>
      <c r="J863" s="9"/>
      <c r="K863" s="9"/>
      <c r="L863" s="9"/>
      <c r="M863" s="9"/>
      <c r="N863" s="9"/>
      <c r="O863" s="9"/>
      <c r="P863" s="9"/>
    </row>
    <row r="864" ht="30.0" customHeight="1">
      <c r="A864" s="5"/>
      <c r="B864" s="5"/>
      <c r="C864" s="6"/>
      <c r="D864" s="18"/>
      <c r="E864" s="8"/>
      <c r="F864" s="8"/>
      <c r="G864" s="8"/>
      <c r="H864" s="9"/>
      <c r="I864" s="9"/>
      <c r="J864" s="9"/>
      <c r="K864" s="9"/>
      <c r="L864" s="9"/>
      <c r="M864" s="9"/>
      <c r="N864" s="9"/>
      <c r="O864" s="9"/>
      <c r="P864" s="9"/>
    </row>
    <row r="865" ht="30.0" customHeight="1">
      <c r="A865" s="5"/>
      <c r="B865" s="5"/>
      <c r="C865" s="6"/>
      <c r="D865" s="18"/>
      <c r="E865" s="8"/>
      <c r="F865" s="8"/>
      <c r="G865" s="8"/>
      <c r="H865" s="9"/>
      <c r="I865" s="9"/>
      <c r="J865" s="9"/>
      <c r="K865" s="9"/>
      <c r="L865" s="9"/>
      <c r="M865" s="9"/>
      <c r="N865" s="9"/>
      <c r="O865" s="9"/>
      <c r="P865" s="9"/>
    </row>
    <row r="866" ht="30.0" customHeight="1">
      <c r="A866" s="5"/>
      <c r="B866" s="5"/>
      <c r="C866" s="6"/>
      <c r="D866" s="18"/>
      <c r="E866" s="8"/>
      <c r="F866" s="8"/>
      <c r="G866" s="8"/>
      <c r="H866" s="9"/>
      <c r="I866" s="9"/>
      <c r="J866" s="9"/>
      <c r="K866" s="9"/>
      <c r="L866" s="9"/>
      <c r="M866" s="9"/>
      <c r="N866" s="9"/>
      <c r="O866" s="9"/>
      <c r="P866" s="9"/>
    </row>
    <row r="867" ht="30.0" customHeight="1">
      <c r="A867" s="5"/>
      <c r="B867" s="5"/>
      <c r="C867" s="6"/>
      <c r="D867" s="18"/>
      <c r="E867" s="8"/>
      <c r="F867" s="8"/>
      <c r="G867" s="8"/>
      <c r="H867" s="9"/>
      <c r="I867" s="9"/>
      <c r="J867" s="9"/>
      <c r="K867" s="9"/>
      <c r="L867" s="9"/>
      <c r="M867" s="9"/>
      <c r="N867" s="9"/>
      <c r="O867" s="9"/>
      <c r="P867" s="9"/>
    </row>
    <row r="868" ht="30.0" customHeight="1">
      <c r="A868" s="5"/>
      <c r="B868" s="5"/>
      <c r="C868" s="6"/>
      <c r="D868" s="18"/>
      <c r="E868" s="8"/>
      <c r="F868" s="8"/>
      <c r="G868" s="8"/>
      <c r="H868" s="9"/>
      <c r="I868" s="9"/>
      <c r="J868" s="9"/>
      <c r="K868" s="9"/>
      <c r="L868" s="9"/>
      <c r="M868" s="9"/>
      <c r="N868" s="9"/>
      <c r="O868" s="9"/>
      <c r="P868" s="9"/>
    </row>
    <row r="869" ht="30.0" customHeight="1">
      <c r="A869" s="5"/>
      <c r="B869" s="5"/>
      <c r="C869" s="6"/>
      <c r="D869" s="18"/>
      <c r="E869" s="8"/>
      <c r="F869" s="8"/>
      <c r="G869" s="8"/>
      <c r="H869" s="9"/>
      <c r="I869" s="9"/>
      <c r="J869" s="9"/>
      <c r="K869" s="9"/>
      <c r="L869" s="9"/>
      <c r="M869" s="9"/>
      <c r="N869" s="9"/>
      <c r="O869" s="9"/>
      <c r="P869" s="9"/>
    </row>
    <row r="870" ht="30.0" customHeight="1">
      <c r="A870" s="5"/>
      <c r="B870" s="5"/>
      <c r="C870" s="6"/>
      <c r="D870" s="18"/>
      <c r="E870" s="8"/>
      <c r="F870" s="8"/>
      <c r="G870" s="8"/>
      <c r="H870" s="9"/>
      <c r="I870" s="9"/>
      <c r="J870" s="9"/>
      <c r="K870" s="9"/>
      <c r="L870" s="9"/>
      <c r="M870" s="9"/>
      <c r="N870" s="9"/>
      <c r="O870" s="9"/>
      <c r="P870" s="9"/>
    </row>
    <row r="871" ht="30.0" customHeight="1">
      <c r="A871" s="5"/>
      <c r="B871" s="5"/>
      <c r="C871" s="6"/>
      <c r="D871" s="18"/>
      <c r="E871" s="8"/>
      <c r="F871" s="8"/>
      <c r="G871" s="8"/>
      <c r="H871" s="9"/>
      <c r="I871" s="9"/>
      <c r="J871" s="9"/>
      <c r="K871" s="9"/>
      <c r="L871" s="9"/>
      <c r="M871" s="9"/>
      <c r="N871" s="9"/>
      <c r="O871" s="9"/>
      <c r="P871" s="9"/>
    </row>
    <row r="872" ht="30.0" customHeight="1">
      <c r="A872" s="5"/>
      <c r="B872" s="5"/>
      <c r="C872" s="6"/>
      <c r="D872" s="18"/>
      <c r="E872" s="8"/>
      <c r="F872" s="8"/>
      <c r="G872" s="8"/>
      <c r="H872" s="9"/>
      <c r="I872" s="9"/>
      <c r="J872" s="9"/>
      <c r="K872" s="9"/>
      <c r="L872" s="9"/>
      <c r="M872" s="9"/>
      <c r="N872" s="9"/>
      <c r="O872" s="9"/>
      <c r="P872" s="9"/>
    </row>
    <row r="873" ht="30.0" customHeight="1">
      <c r="A873" s="5"/>
      <c r="B873" s="5"/>
      <c r="C873" s="6"/>
      <c r="D873" s="18"/>
      <c r="E873" s="8"/>
      <c r="F873" s="8"/>
      <c r="G873" s="8"/>
      <c r="H873" s="9"/>
      <c r="I873" s="9"/>
      <c r="J873" s="9"/>
      <c r="K873" s="9"/>
      <c r="L873" s="9"/>
      <c r="M873" s="9"/>
      <c r="N873" s="9"/>
      <c r="O873" s="9"/>
      <c r="P873" s="9"/>
    </row>
    <row r="874" ht="30.0" customHeight="1">
      <c r="A874" s="5"/>
      <c r="B874" s="5"/>
      <c r="C874" s="6"/>
      <c r="D874" s="18"/>
      <c r="E874" s="8"/>
      <c r="F874" s="8"/>
      <c r="G874" s="8"/>
      <c r="H874" s="9"/>
      <c r="I874" s="9"/>
      <c r="J874" s="9"/>
      <c r="K874" s="9"/>
      <c r="L874" s="9"/>
      <c r="M874" s="9"/>
      <c r="N874" s="9"/>
      <c r="O874" s="9"/>
      <c r="P874" s="9"/>
    </row>
    <row r="875" ht="30.0" customHeight="1">
      <c r="A875" s="5"/>
      <c r="B875" s="5"/>
      <c r="C875" s="6"/>
      <c r="D875" s="18"/>
      <c r="E875" s="8"/>
      <c r="F875" s="8"/>
      <c r="G875" s="8"/>
      <c r="H875" s="9"/>
      <c r="I875" s="9"/>
      <c r="J875" s="9"/>
      <c r="K875" s="9"/>
      <c r="L875" s="9"/>
      <c r="M875" s="9"/>
      <c r="N875" s="9"/>
      <c r="O875" s="9"/>
      <c r="P875" s="9"/>
    </row>
    <row r="876" ht="30.0" customHeight="1">
      <c r="A876" s="5"/>
      <c r="B876" s="5"/>
      <c r="C876" s="6"/>
      <c r="D876" s="18"/>
      <c r="E876" s="8"/>
      <c r="F876" s="8"/>
      <c r="G876" s="8"/>
      <c r="H876" s="9"/>
      <c r="I876" s="9"/>
      <c r="J876" s="9"/>
      <c r="K876" s="9"/>
      <c r="L876" s="9"/>
      <c r="M876" s="9"/>
      <c r="N876" s="9"/>
      <c r="O876" s="9"/>
      <c r="P876" s="9"/>
    </row>
    <row r="877" ht="30.0" customHeight="1">
      <c r="A877" s="5"/>
      <c r="B877" s="5"/>
      <c r="C877" s="6"/>
      <c r="D877" s="18"/>
      <c r="E877" s="8"/>
      <c r="F877" s="8"/>
      <c r="G877" s="8"/>
      <c r="H877" s="9"/>
      <c r="I877" s="9"/>
      <c r="J877" s="9"/>
      <c r="K877" s="9"/>
      <c r="L877" s="9"/>
      <c r="M877" s="9"/>
      <c r="N877" s="9"/>
      <c r="O877" s="9"/>
      <c r="P877" s="9"/>
    </row>
    <row r="878" ht="30.0" customHeight="1">
      <c r="A878" s="5"/>
      <c r="B878" s="5"/>
      <c r="C878" s="6"/>
      <c r="D878" s="18"/>
      <c r="E878" s="8"/>
      <c r="F878" s="8"/>
      <c r="G878" s="8"/>
      <c r="H878" s="9"/>
      <c r="I878" s="9"/>
      <c r="J878" s="9"/>
      <c r="K878" s="9"/>
      <c r="L878" s="9"/>
      <c r="M878" s="9"/>
      <c r="N878" s="9"/>
      <c r="O878" s="9"/>
      <c r="P878" s="9"/>
    </row>
    <row r="879" ht="30.0" customHeight="1">
      <c r="A879" s="5"/>
      <c r="B879" s="5"/>
      <c r="C879" s="6"/>
      <c r="D879" s="18"/>
      <c r="E879" s="8"/>
      <c r="F879" s="8"/>
      <c r="G879" s="8"/>
      <c r="H879" s="9"/>
      <c r="I879" s="9"/>
      <c r="J879" s="9"/>
      <c r="K879" s="9"/>
      <c r="L879" s="9"/>
      <c r="M879" s="9"/>
      <c r="N879" s="9"/>
      <c r="O879" s="9"/>
      <c r="P879" s="9"/>
    </row>
    <row r="880" ht="30.0" customHeight="1">
      <c r="A880" s="5"/>
      <c r="B880" s="5"/>
      <c r="C880" s="6"/>
      <c r="D880" s="18"/>
      <c r="E880" s="8"/>
      <c r="F880" s="8"/>
      <c r="G880" s="8"/>
      <c r="H880" s="9"/>
      <c r="I880" s="9"/>
      <c r="J880" s="9"/>
      <c r="K880" s="9"/>
      <c r="L880" s="9"/>
      <c r="M880" s="9"/>
      <c r="N880" s="9"/>
      <c r="O880" s="9"/>
      <c r="P880" s="9"/>
    </row>
    <row r="881" ht="30.0" customHeight="1">
      <c r="A881" s="5"/>
      <c r="B881" s="5"/>
      <c r="C881" s="6"/>
      <c r="D881" s="18"/>
      <c r="E881" s="8"/>
      <c r="F881" s="8"/>
      <c r="G881" s="8"/>
      <c r="H881" s="9"/>
      <c r="I881" s="9"/>
      <c r="J881" s="9"/>
      <c r="K881" s="9"/>
      <c r="L881" s="9"/>
      <c r="M881" s="9"/>
      <c r="N881" s="9"/>
      <c r="O881" s="9"/>
      <c r="P881" s="9"/>
    </row>
    <row r="882" ht="30.0" customHeight="1">
      <c r="A882" s="5"/>
      <c r="B882" s="5"/>
      <c r="C882" s="6"/>
      <c r="D882" s="18"/>
      <c r="E882" s="8"/>
      <c r="F882" s="8"/>
      <c r="G882" s="8"/>
      <c r="H882" s="9"/>
      <c r="I882" s="9"/>
      <c r="J882" s="9"/>
      <c r="K882" s="9"/>
      <c r="L882" s="9"/>
      <c r="M882" s="9"/>
      <c r="N882" s="9"/>
      <c r="O882" s="9"/>
      <c r="P882" s="9"/>
    </row>
    <row r="883" ht="30.0" customHeight="1">
      <c r="A883" s="5"/>
      <c r="B883" s="5"/>
      <c r="C883" s="6"/>
      <c r="D883" s="18"/>
      <c r="E883" s="8"/>
      <c r="F883" s="8"/>
      <c r="G883" s="8"/>
      <c r="H883" s="9"/>
      <c r="I883" s="9"/>
      <c r="J883" s="9"/>
      <c r="K883" s="9"/>
      <c r="L883" s="9"/>
      <c r="M883" s="9"/>
      <c r="N883" s="9"/>
      <c r="O883" s="9"/>
      <c r="P883" s="9"/>
    </row>
    <row r="884" ht="30.0" customHeight="1">
      <c r="A884" s="5"/>
      <c r="B884" s="5"/>
      <c r="C884" s="6"/>
      <c r="D884" s="18"/>
      <c r="E884" s="8"/>
      <c r="F884" s="8"/>
      <c r="G884" s="8"/>
      <c r="H884" s="9"/>
      <c r="I884" s="9"/>
      <c r="J884" s="9"/>
      <c r="K884" s="9"/>
      <c r="L884" s="9"/>
      <c r="M884" s="9"/>
      <c r="N884" s="9"/>
      <c r="O884" s="9"/>
      <c r="P884" s="9"/>
    </row>
    <row r="885" ht="30.0" customHeight="1">
      <c r="A885" s="5"/>
      <c r="B885" s="5"/>
      <c r="C885" s="6"/>
      <c r="D885" s="18"/>
      <c r="E885" s="8"/>
      <c r="F885" s="8"/>
      <c r="G885" s="8"/>
      <c r="H885" s="9"/>
      <c r="I885" s="9"/>
      <c r="J885" s="9"/>
      <c r="K885" s="9"/>
      <c r="L885" s="9"/>
      <c r="M885" s="9"/>
      <c r="N885" s="9"/>
      <c r="O885" s="9"/>
      <c r="P885" s="9"/>
    </row>
    <row r="886" ht="30.0" customHeight="1">
      <c r="A886" s="5"/>
      <c r="B886" s="5"/>
      <c r="C886" s="6"/>
      <c r="D886" s="18"/>
      <c r="E886" s="8"/>
      <c r="F886" s="8"/>
      <c r="G886" s="8"/>
      <c r="H886" s="9"/>
      <c r="I886" s="9"/>
      <c r="J886" s="9"/>
      <c r="K886" s="9"/>
      <c r="L886" s="9"/>
      <c r="M886" s="9"/>
      <c r="N886" s="9"/>
      <c r="O886" s="9"/>
      <c r="P886" s="9"/>
    </row>
    <row r="887" ht="30.0" customHeight="1">
      <c r="A887" s="5"/>
      <c r="B887" s="5"/>
      <c r="C887" s="6"/>
      <c r="D887" s="18"/>
      <c r="E887" s="8"/>
      <c r="F887" s="8"/>
      <c r="G887" s="8"/>
      <c r="H887" s="9"/>
      <c r="I887" s="9"/>
      <c r="J887" s="9"/>
      <c r="K887" s="9"/>
      <c r="L887" s="9"/>
      <c r="M887" s="9"/>
      <c r="N887" s="9"/>
      <c r="O887" s="9"/>
      <c r="P887" s="9"/>
    </row>
    <row r="888" ht="30.0" customHeight="1">
      <c r="A888" s="5"/>
      <c r="B888" s="5"/>
      <c r="C888" s="6"/>
      <c r="D888" s="18"/>
      <c r="E888" s="8"/>
      <c r="F888" s="8"/>
      <c r="G888" s="8"/>
      <c r="H888" s="9"/>
      <c r="I888" s="9"/>
      <c r="J888" s="9"/>
      <c r="K888" s="9"/>
      <c r="L888" s="9"/>
      <c r="M888" s="9"/>
      <c r="N888" s="9"/>
      <c r="O888" s="9"/>
      <c r="P888" s="9"/>
    </row>
    <row r="889" ht="30.0" customHeight="1">
      <c r="A889" s="5"/>
      <c r="B889" s="5"/>
      <c r="C889" s="6"/>
      <c r="D889" s="18"/>
      <c r="E889" s="8"/>
      <c r="F889" s="8"/>
      <c r="G889" s="8"/>
      <c r="H889" s="9"/>
      <c r="I889" s="9"/>
      <c r="J889" s="9"/>
      <c r="K889" s="9"/>
      <c r="L889" s="9"/>
      <c r="M889" s="9"/>
      <c r="N889" s="9"/>
      <c r="O889" s="9"/>
      <c r="P889" s="9"/>
    </row>
    <row r="890" ht="30.0" customHeight="1">
      <c r="A890" s="5"/>
      <c r="B890" s="5"/>
      <c r="C890" s="6"/>
      <c r="D890" s="18"/>
      <c r="E890" s="8"/>
      <c r="F890" s="8"/>
      <c r="G890" s="8"/>
      <c r="H890" s="9"/>
      <c r="I890" s="9"/>
      <c r="J890" s="9"/>
      <c r="K890" s="9"/>
      <c r="L890" s="9"/>
      <c r="M890" s="9"/>
      <c r="N890" s="9"/>
      <c r="O890" s="9"/>
      <c r="P890" s="9"/>
    </row>
    <row r="891" ht="30.0" customHeight="1">
      <c r="A891" s="5"/>
      <c r="B891" s="5"/>
      <c r="C891" s="6"/>
      <c r="D891" s="18"/>
      <c r="E891" s="8"/>
      <c r="F891" s="8"/>
      <c r="G891" s="8"/>
      <c r="H891" s="9"/>
      <c r="I891" s="9"/>
      <c r="J891" s="9"/>
      <c r="K891" s="9"/>
      <c r="L891" s="9"/>
      <c r="M891" s="9"/>
      <c r="N891" s="9"/>
      <c r="O891" s="9"/>
      <c r="P891" s="9"/>
    </row>
    <row r="892" ht="30.0" customHeight="1">
      <c r="A892" s="5"/>
      <c r="B892" s="5"/>
      <c r="C892" s="6"/>
      <c r="D892" s="18"/>
      <c r="E892" s="8"/>
      <c r="F892" s="8"/>
      <c r="G892" s="8"/>
      <c r="H892" s="9"/>
      <c r="I892" s="9"/>
      <c r="J892" s="9"/>
      <c r="K892" s="9"/>
      <c r="L892" s="9"/>
      <c r="M892" s="9"/>
      <c r="N892" s="9"/>
      <c r="O892" s="9"/>
      <c r="P892" s="9"/>
    </row>
    <row r="893" ht="30.0" customHeight="1">
      <c r="A893" s="5"/>
      <c r="B893" s="5"/>
      <c r="C893" s="6"/>
      <c r="D893" s="18"/>
      <c r="E893" s="8"/>
      <c r="F893" s="8"/>
      <c r="G893" s="8"/>
      <c r="H893" s="9"/>
      <c r="I893" s="9"/>
      <c r="J893" s="9"/>
      <c r="K893" s="9"/>
      <c r="L893" s="9"/>
      <c r="M893" s="9"/>
      <c r="N893" s="9"/>
      <c r="O893" s="9"/>
      <c r="P893" s="9"/>
    </row>
    <row r="894" ht="30.0" customHeight="1">
      <c r="A894" s="5"/>
      <c r="B894" s="5"/>
      <c r="C894" s="6"/>
      <c r="D894" s="18"/>
      <c r="E894" s="8"/>
      <c r="F894" s="8"/>
      <c r="G894" s="8"/>
      <c r="H894" s="9"/>
      <c r="I894" s="9"/>
      <c r="J894" s="9"/>
      <c r="K894" s="9"/>
      <c r="L894" s="9"/>
      <c r="M894" s="9"/>
      <c r="N894" s="9"/>
      <c r="O894" s="9"/>
      <c r="P894" s="9"/>
    </row>
    <row r="895" ht="30.0" customHeight="1">
      <c r="A895" s="5"/>
      <c r="B895" s="5"/>
      <c r="C895" s="6"/>
      <c r="D895" s="18"/>
      <c r="E895" s="8"/>
      <c r="F895" s="8"/>
      <c r="G895" s="8"/>
      <c r="H895" s="9"/>
      <c r="I895" s="9"/>
      <c r="J895" s="9"/>
      <c r="K895" s="9"/>
      <c r="L895" s="9"/>
      <c r="M895" s="9"/>
      <c r="N895" s="9"/>
      <c r="O895" s="9"/>
      <c r="P895" s="9"/>
    </row>
    <row r="896" ht="30.0" customHeight="1">
      <c r="A896" s="5"/>
      <c r="B896" s="5"/>
      <c r="C896" s="6"/>
      <c r="D896" s="18"/>
      <c r="E896" s="8"/>
      <c r="F896" s="8"/>
      <c r="G896" s="8"/>
      <c r="H896" s="9"/>
      <c r="I896" s="9"/>
      <c r="J896" s="9"/>
      <c r="K896" s="9"/>
      <c r="L896" s="9"/>
      <c r="M896" s="9"/>
      <c r="N896" s="9"/>
      <c r="O896" s="9"/>
      <c r="P896" s="9"/>
    </row>
    <row r="897" ht="30.0" customHeight="1">
      <c r="A897" s="5"/>
      <c r="B897" s="5"/>
      <c r="C897" s="6"/>
      <c r="D897" s="18"/>
      <c r="E897" s="8"/>
      <c r="F897" s="8"/>
      <c r="G897" s="8"/>
      <c r="H897" s="9"/>
      <c r="I897" s="9"/>
      <c r="J897" s="9"/>
      <c r="K897" s="9"/>
      <c r="L897" s="9"/>
      <c r="M897" s="9"/>
      <c r="N897" s="9"/>
      <c r="O897" s="9"/>
      <c r="P897" s="9"/>
    </row>
    <row r="898" ht="30.0" customHeight="1">
      <c r="A898" s="5"/>
      <c r="B898" s="5"/>
      <c r="C898" s="6"/>
      <c r="D898" s="18"/>
      <c r="E898" s="8"/>
      <c r="F898" s="8"/>
      <c r="G898" s="8"/>
      <c r="H898" s="9"/>
      <c r="I898" s="9"/>
      <c r="J898" s="9"/>
      <c r="K898" s="9"/>
      <c r="L898" s="9"/>
      <c r="M898" s="9"/>
      <c r="N898" s="9"/>
      <c r="O898" s="9"/>
      <c r="P898" s="9"/>
    </row>
    <row r="899" ht="30.0" customHeight="1">
      <c r="A899" s="5"/>
      <c r="B899" s="5"/>
      <c r="C899" s="6"/>
      <c r="D899" s="18"/>
      <c r="E899" s="8"/>
      <c r="F899" s="8"/>
      <c r="G899" s="8"/>
      <c r="H899" s="9"/>
      <c r="I899" s="9"/>
      <c r="J899" s="9"/>
      <c r="K899" s="9"/>
      <c r="L899" s="9"/>
      <c r="M899" s="9"/>
      <c r="N899" s="9"/>
      <c r="O899" s="9"/>
      <c r="P899" s="9"/>
    </row>
    <row r="900" ht="30.0" customHeight="1">
      <c r="A900" s="5"/>
      <c r="B900" s="5"/>
      <c r="C900" s="6"/>
      <c r="D900" s="18"/>
      <c r="E900" s="8"/>
      <c r="F900" s="8"/>
      <c r="G900" s="8"/>
      <c r="H900" s="9"/>
      <c r="I900" s="9"/>
      <c r="J900" s="9"/>
      <c r="K900" s="9"/>
      <c r="L900" s="9"/>
      <c r="M900" s="9"/>
      <c r="N900" s="9"/>
      <c r="O900" s="9"/>
      <c r="P900" s="9"/>
    </row>
    <row r="901" ht="30.0" customHeight="1">
      <c r="A901" s="5"/>
      <c r="B901" s="5"/>
      <c r="C901" s="6"/>
      <c r="D901" s="18"/>
      <c r="E901" s="8"/>
      <c r="F901" s="8"/>
      <c r="G901" s="8"/>
      <c r="H901" s="9"/>
      <c r="I901" s="9"/>
      <c r="J901" s="9"/>
      <c r="K901" s="9"/>
      <c r="L901" s="9"/>
      <c r="M901" s="9"/>
      <c r="N901" s="9"/>
      <c r="O901" s="9"/>
      <c r="P901" s="9"/>
    </row>
    <row r="902" ht="30.0" customHeight="1">
      <c r="A902" s="5"/>
      <c r="B902" s="5"/>
      <c r="C902" s="6"/>
      <c r="D902" s="18"/>
      <c r="E902" s="8"/>
      <c r="F902" s="8"/>
      <c r="G902" s="8"/>
      <c r="H902" s="9"/>
      <c r="I902" s="9"/>
      <c r="J902" s="9"/>
      <c r="K902" s="9"/>
      <c r="L902" s="9"/>
      <c r="M902" s="9"/>
      <c r="N902" s="9"/>
      <c r="O902" s="9"/>
      <c r="P902" s="9"/>
    </row>
    <row r="903" ht="30.0" customHeight="1">
      <c r="A903" s="5"/>
      <c r="B903" s="5"/>
      <c r="C903" s="6"/>
      <c r="D903" s="18"/>
      <c r="E903" s="8"/>
      <c r="F903" s="8"/>
      <c r="G903" s="8"/>
      <c r="H903" s="9"/>
      <c r="I903" s="9"/>
      <c r="J903" s="9"/>
      <c r="K903" s="9"/>
      <c r="L903" s="9"/>
      <c r="M903" s="9"/>
      <c r="N903" s="9"/>
      <c r="O903" s="9"/>
      <c r="P903" s="9"/>
    </row>
    <row r="904" ht="30.0" customHeight="1">
      <c r="A904" s="5"/>
      <c r="B904" s="5"/>
      <c r="C904" s="6"/>
      <c r="D904" s="18"/>
      <c r="E904" s="8"/>
      <c r="F904" s="8"/>
      <c r="G904" s="8"/>
      <c r="H904" s="9"/>
      <c r="I904" s="9"/>
      <c r="J904" s="9"/>
      <c r="K904" s="9"/>
      <c r="L904" s="9"/>
      <c r="M904" s="9"/>
      <c r="N904" s="9"/>
      <c r="O904" s="9"/>
      <c r="P904" s="9"/>
    </row>
    <row r="905" ht="30.0" customHeight="1">
      <c r="A905" s="5"/>
      <c r="B905" s="5"/>
      <c r="C905" s="6"/>
      <c r="D905" s="18"/>
      <c r="E905" s="8"/>
      <c r="F905" s="8"/>
      <c r="G905" s="8"/>
      <c r="H905" s="9"/>
      <c r="I905" s="9"/>
      <c r="J905" s="9"/>
      <c r="K905" s="9"/>
      <c r="L905" s="9"/>
      <c r="M905" s="9"/>
      <c r="N905" s="9"/>
      <c r="O905" s="9"/>
      <c r="P905" s="9"/>
    </row>
    <row r="906" ht="30.0" customHeight="1">
      <c r="A906" s="5"/>
      <c r="B906" s="5"/>
      <c r="C906" s="6"/>
      <c r="D906" s="18"/>
      <c r="E906" s="8"/>
      <c r="F906" s="8"/>
      <c r="G906" s="8"/>
      <c r="H906" s="9"/>
      <c r="I906" s="9"/>
      <c r="J906" s="9"/>
      <c r="K906" s="9"/>
      <c r="L906" s="9"/>
      <c r="M906" s="9"/>
      <c r="N906" s="9"/>
      <c r="O906" s="9"/>
      <c r="P906" s="9"/>
    </row>
    <row r="907" ht="30.0" customHeight="1">
      <c r="A907" s="5"/>
      <c r="B907" s="5"/>
      <c r="C907" s="6"/>
      <c r="D907" s="18"/>
      <c r="E907" s="8"/>
      <c r="F907" s="8"/>
      <c r="G907" s="8"/>
      <c r="H907" s="9"/>
      <c r="I907" s="9"/>
      <c r="J907" s="9"/>
      <c r="K907" s="9"/>
      <c r="L907" s="9"/>
      <c r="M907" s="9"/>
      <c r="N907" s="9"/>
      <c r="O907" s="9"/>
      <c r="P907" s="9"/>
    </row>
    <row r="908" ht="30.0" customHeight="1">
      <c r="A908" s="5"/>
      <c r="B908" s="5"/>
      <c r="C908" s="6"/>
      <c r="D908" s="18"/>
      <c r="E908" s="8"/>
      <c r="F908" s="8"/>
      <c r="G908" s="8"/>
      <c r="H908" s="9"/>
      <c r="I908" s="9"/>
      <c r="J908" s="9"/>
      <c r="K908" s="9"/>
      <c r="L908" s="9"/>
      <c r="M908" s="9"/>
      <c r="N908" s="9"/>
      <c r="O908" s="9"/>
      <c r="P908" s="9"/>
    </row>
    <row r="909" ht="30.0" customHeight="1">
      <c r="A909" s="5"/>
      <c r="B909" s="5"/>
      <c r="C909" s="6"/>
      <c r="D909" s="18"/>
      <c r="E909" s="8"/>
      <c r="F909" s="8"/>
      <c r="G909" s="8"/>
      <c r="H909" s="9"/>
      <c r="I909" s="9"/>
      <c r="J909" s="9"/>
      <c r="K909" s="9"/>
      <c r="L909" s="9"/>
      <c r="M909" s="9"/>
      <c r="N909" s="9"/>
      <c r="O909" s="9"/>
      <c r="P909" s="9"/>
    </row>
    <row r="910" ht="30.0" customHeight="1">
      <c r="A910" s="5"/>
      <c r="B910" s="5"/>
      <c r="C910" s="6"/>
      <c r="D910" s="18"/>
      <c r="E910" s="8"/>
      <c r="F910" s="8"/>
      <c r="G910" s="8"/>
      <c r="H910" s="9"/>
      <c r="I910" s="9"/>
      <c r="J910" s="9"/>
      <c r="K910" s="9"/>
      <c r="L910" s="9"/>
      <c r="M910" s="9"/>
      <c r="N910" s="9"/>
      <c r="O910" s="9"/>
      <c r="P910" s="9"/>
    </row>
    <row r="911" ht="30.0" customHeight="1">
      <c r="A911" s="5"/>
      <c r="B911" s="5"/>
      <c r="C911" s="6"/>
      <c r="D911" s="18"/>
      <c r="E911" s="8"/>
      <c r="F911" s="8"/>
      <c r="G911" s="8"/>
      <c r="H911" s="9"/>
      <c r="I911" s="9"/>
      <c r="J911" s="9"/>
      <c r="K911" s="9"/>
      <c r="L911" s="9"/>
      <c r="M911" s="9"/>
      <c r="N911" s="9"/>
      <c r="O911" s="9"/>
      <c r="P911" s="9"/>
    </row>
    <row r="912" ht="30.0" customHeight="1">
      <c r="A912" s="5"/>
      <c r="B912" s="5"/>
      <c r="C912" s="6"/>
      <c r="D912" s="18"/>
      <c r="E912" s="8"/>
      <c r="F912" s="8"/>
      <c r="G912" s="8"/>
      <c r="H912" s="9"/>
      <c r="I912" s="9"/>
      <c r="J912" s="9"/>
      <c r="K912" s="9"/>
      <c r="L912" s="9"/>
      <c r="M912" s="9"/>
      <c r="N912" s="9"/>
      <c r="O912" s="9"/>
      <c r="P912" s="9"/>
    </row>
    <row r="913" ht="30.0" customHeight="1">
      <c r="A913" s="5"/>
      <c r="B913" s="5"/>
      <c r="C913" s="6"/>
      <c r="D913" s="18"/>
      <c r="E913" s="8"/>
      <c r="F913" s="8"/>
      <c r="G913" s="8"/>
      <c r="H913" s="9"/>
      <c r="I913" s="9"/>
      <c r="J913" s="9"/>
      <c r="K913" s="9"/>
      <c r="L913" s="9"/>
      <c r="M913" s="9"/>
      <c r="N913" s="9"/>
      <c r="O913" s="9"/>
      <c r="P913" s="9"/>
    </row>
    <row r="914" ht="30.0" customHeight="1">
      <c r="A914" s="5"/>
      <c r="B914" s="5"/>
      <c r="C914" s="6"/>
      <c r="D914" s="18"/>
      <c r="E914" s="8"/>
      <c r="F914" s="8"/>
      <c r="G914" s="8"/>
      <c r="H914" s="9"/>
      <c r="I914" s="9"/>
      <c r="J914" s="9"/>
      <c r="K914" s="9"/>
      <c r="L914" s="9"/>
      <c r="M914" s="9"/>
      <c r="N914" s="9"/>
      <c r="O914" s="9"/>
      <c r="P914" s="9"/>
    </row>
    <row r="915" ht="30.0" customHeight="1">
      <c r="A915" s="5"/>
      <c r="B915" s="5"/>
      <c r="C915" s="6"/>
      <c r="D915" s="18"/>
      <c r="E915" s="8"/>
      <c r="F915" s="8"/>
      <c r="G915" s="8"/>
      <c r="H915" s="9"/>
      <c r="I915" s="9"/>
      <c r="J915" s="9"/>
      <c r="K915" s="9"/>
      <c r="L915" s="9"/>
      <c r="M915" s="9"/>
      <c r="N915" s="9"/>
      <c r="O915" s="9"/>
      <c r="P915" s="9"/>
    </row>
    <row r="916" ht="30.0" customHeight="1">
      <c r="A916" s="5"/>
      <c r="B916" s="5"/>
      <c r="C916" s="6"/>
      <c r="D916" s="18"/>
      <c r="E916" s="8"/>
      <c r="F916" s="8"/>
      <c r="G916" s="8"/>
      <c r="H916" s="9"/>
      <c r="I916" s="9"/>
      <c r="J916" s="9"/>
      <c r="K916" s="9"/>
      <c r="L916" s="9"/>
      <c r="M916" s="9"/>
      <c r="N916" s="9"/>
      <c r="O916" s="9"/>
      <c r="P916" s="9"/>
    </row>
    <row r="917" ht="30.0" customHeight="1">
      <c r="A917" s="5"/>
      <c r="B917" s="5"/>
      <c r="C917" s="6"/>
      <c r="D917" s="18"/>
      <c r="E917" s="8"/>
      <c r="F917" s="8"/>
      <c r="G917" s="8"/>
      <c r="H917" s="9"/>
      <c r="I917" s="9"/>
      <c r="J917" s="9"/>
      <c r="K917" s="9"/>
      <c r="L917" s="9"/>
      <c r="M917" s="9"/>
      <c r="N917" s="9"/>
      <c r="O917" s="9"/>
      <c r="P917" s="9"/>
    </row>
    <row r="918" ht="30.0" customHeight="1">
      <c r="A918" s="5"/>
      <c r="B918" s="5"/>
      <c r="C918" s="6"/>
      <c r="D918" s="18"/>
      <c r="E918" s="8"/>
      <c r="F918" s="8"/>
      <c r="G918" s="8"/>
      <c r="H918" s="9"/>
      <c r="I918" s="9"/>
      <c r="J918" s="9"/>
      <c r="K918" s="9"/>
      <c r="L918" s="9"/>
      <c r="M918" s="9"/>
      <c r="N918" s="9"/>
      <c r="O918" s="9"/>
      <c r="P918" s="9"/>
    </row>
    <row r="919" ht="30.0" customHeight="1">
      <c r="A919" s="5"/>
      <c r="B919" s="5"/>
      <c r="C919" s="6"/>
      <c r="D919" s="18"/>
      <c r="E919" s="8"/>
      <c r="F919" s="8"/>
      <c r="G919" s="8"/>
      <c r="H919" s="9"/>
      <c r="I919" s="9"/>
      <c r="J919" s="9"/>
      <c r="K919" s="9"/>
      <c r="L919" s="9"/>
      <c r="M919" s="9"/>
      <c r="N919" s="9"/>
      <c r="O919" s="9"/>
      <c r="P919" s="9"/>
    </row>
    <row r="920" ht="30.0" customHeight="1">
      <c r="A920" s="5"/>
      <c r="B920" s="5"/>
      <c r="C920" s="6"/>
      <c r="D920" s="18"/>
      <c r="E920" s="8"/>
      <c r="F920" s="8"/>
      <c r="G920" s="8"/>
      <c r="H920" s="9"/>
      <c r="I920" s="9"/>
      <c r="J920" s="9"/>
      <c r="K920" s="9"/>
      <c r="L920" s="9"/>
      <c r="M920" s="9"/>
      <c r="N920" s="9"/>
      <c r="O920" s="9"/>
      <c r="P920" s="9"/>
    </row>
    <row r="921" ht="30.0" customHeight="1">
      <c r="A921" s="5"/>
      <c r="B921" s="5"/>
      <c r="C921" s="6"/>
      <c r="D921" s="18"/>
      <c r="E921" s="8"/>
      <c r="F921" s="8"/>
      <c r="G921" s="8"/>
      <c r="H921" s="9"/>
      <c r="I921" s="9"/>
      <c r="J921" s="9"/>
      <c r="K921" s="9"/>
      <c r="L921" s="9"/>
      <c r="M921" s="9"/>
      <c r="N921" s="9"/>
      <c r="O921" s="9"/>
      <c r="P921" s="9"/>
    </row>
    <row r="922" ht="30.0" customHeight="1">
      <c r="A922" s="5"/>
      <c r="B922" s="5"/>
      <c r="C922" s="6"/>
      <c r="D922" s="18"/>
      <c r="E922" s="8"/>
      <c r="F922" s="8"/>
      <c r="G922" s="8"/>
      <c r="H922" s="9"/>
      <c r="I922" s="9"/>
      <c r="J922" s="9"/>
      <c r="K922" s="9"/>
      <c r="L922" s="9"/>
      <c r="M922" s="9"/>
      <c r="N922" s="9"/>
      <c r="O922" s="9"/>
      <c r="P922" s="9"/>
    </row>
    <row r="923" ht="30.0" customHeight="1">
      <c r="A923" s="5"/>
      <c r="B923" s="5"/>
      <c r="C923" s="6"/>
      <c r="D923" s="18"/>
      <c r="E923" s="8"/>
      <c r="F923" s="8"/>
      <c r="G923" s="8"/>
      <c r="H923" s="9"/>
      <c r="I923" s="9"/>
      <c r="J923" s="9"/>
      <c r="K923" s="9"/>
      <c r="L923" s="9"/>
      <c r="M923" s="9"/>
      <c r="N923" s="9"/>
      <c r="O923" s="9"/>
      <c r="P923" s="9"/>
    </row>
    <row r="924" ht="30.0" customHeight="1">
      <c r="A924" s="5"/>
      <c r="B924" s="5"/>
      <c r="C924" s="6"/>
      <c r="D924" s="18"/>
      <c r="E924" s="8"/>
      <c r="F924" s="8"/>
      <c r="G924" s="8"/>
      <c r="H924" s="9"/>
      <c r="I924" s="9"/>
      <c r="J924" s="9"/>
      <c r="K924" s="9"/>
      <c r="L924" s="9"/>
      <c r="M924" s="9"/>
      <c r="N924" s="9"/>
      <c r="O924" s="9"/>
      <c r="P924" s="9"/>
    </row>
    <row r="925" ht="30.0" customHeight="1">
      <c r="A925" s="5"/>
      <c r="B925" s="5"/>
      <c r="C925" s="6"/>
      <c r="D925" s="18"/>
      <c r="E925" s="8"/>
      <c r="F925" s="8"/>
      <c r="G925" s="8"/>
      <c r="H925" s="9"/>
      <c r="I925" s="9"/>
      <c r="J925" s="9"/>
      <c r="K925" s="9"/>
      <c r="L925" s="9"/>
      <c r="M925" s="9"/>
      <c r="N925" s="9"/>
      <c r="O925" s="9"/>
      <c r="P925" s="9"/>
    </row>
    <row r="926" ht="30.0" customHeight="1">
      <c r="A926" s="5"/>
      <c r="B926" s="5"/>
      <c r="C926" s="6"/>
      <c r="D926" s="18"/>
      <c r="E926" s="8"/>
      <c r="F926" s="8"/>
      <c r="G926" s="8"/>
      <c r="H926" s="9"/>
      <c r="I926" s="9"/>
      <c r="J926" s="9"/>
      <c r="K926" s="9"/>
      <c r="L926" s="9"/>
      <c r="M926" s="9"/>
      <c r="N926" s="9"/>
      <c r="O926" s="9"/>
      <c r="P926" s="9"/>
    </row>
    <row r="927" ht="30.0" customHeight="1">
      <c r="A927" s="5"/>
      <c r="B927" s="5"/>
      <c r="C927" s="6"/>
      <c r="D927" s="18"/>
      <c r="E927" s="8"/>
      <c r="F927" s="8"/>
      <c r="G927" s="8"/>
      <c r="H927" s="9"/>
      <c r="I927" s="9"/>
      <c r="J927" s="9"/>
      <c r="K927" s="9"/>
      <c r="L927" s="9"/>
      <c r="M927" s="9"/>
      <c r="N927" s="9"/>
      <c r="O927" s="9"/>
      <c r="P927" s="9"/>
    </row>
    <row r="928" ht="30.0" customHeight="1">
      <c r="A928" s="5"/>
      <c r="B928" s="5"/>
      <c r="C928" s="6"/>
      <c r="D928" s="18"/>
      <c r="E928" s="8"/>
      <c r="F928" s="8"/>
      <c r="G928" s="8"/>
      <c r="H928" s="9"/>
      <c r="I928" s="9"/>
      <c r="J928" s="9"/>
      <c r="K928" s="9"/>
      <c r="L928" s="9"/>
      <c r="M928" s="9"/>
      <c r="N928" s="9"/>
      <c r="O928" s="9"/>
      <c r="P928" s="9"/>
    </row>
    <row r="929" ht="30.0" customHeight="1">
      <c r="A929" s="5"/>
      <c r="B929" s="5"/>
      <c r="C929" s="6"/>
      <c r="D929" s="18"/>
      <c r="E929" s="8"/>
      <c r="F929" s="8"/>
      <c r="G929" s="8"/>
      <c r="H929" s="9"/>
      <c r="I929" s="9"/>
      <c r="J929" s="9"/>
      <c r="K929" s="9"/>
      <c r="L929" s="9"/>
      <c r="M929" s="9"/>
      <c r="N929" s="9"/>
      <c r="O929" s="9"/>
      <c r="P929" s="9"/>
    </row>
    <row r="930" ht="30.0" customHeight="1">
      <c r="A930" s="5"/>
      <c r="B930" s="5"/>
      <c r="C930" s="6"/>
      <c r="D930" s="18"/>
      <c r="E930" s="8"/>
      <c r="F930" s="8"/>
      <c r="G930" s="8"/>
      <c r="H930" s="9"/>
      <c r="I930" s="9"/>
      <c r="J930" s="9"/>
      <c r="K930" s="9"/>
      <c r="L930" s="9"/>
      <c r="M930" s="9"/>
      <c r="N930" s="9"/>
      <c r="O930" s="9"/>
      <c r="P930" s="9"/>
    </row>
    <row r="931" ht="30.0" customHeight="1">
      <c r="A931" s="5"/>
      <c r="B931" s="5"/>
      <c r="C931" s="6"/>
      <c r="D931" s="18"/>
      <c r="E931" s="8"/>
      <c r="F931" s="8"/>
      <c r="G931" s="8"/>
      <c r="H931" s="9"/>
      <c r="I931" s="9"/>
      <c r="J931" s="9"/>
      <c r="K931" s="9"/>
      <c r="L931" s="9"/>
      <c r="M931" s="9"/>
      <c r="N931" s="9"/>
      <c r="O931" s="9"/>
      <c r="P931" s="9"/>
    </row>
    <row r="932" ht="30.0" customHeight="1">
      <c r="A932" s="5"/>
      <c r="B932" s="5"/>
      <c r="C932" s="6"/>
      <c r="D932" s="18"/>
      <c r="E932" s="8"/>
      <c r="F932" s="8"/>
      <c r="G932" s="8"/>
      <c r="H932" s="9"/>
      <c r="I932" s="9"/>
      <c r="J932" s="9"/>
      <c r="K932" s="9"/>
      <c r="L932" s="9"/>
      <c r="M932" s="9"/>
      <c r="N932" s="9"/>
      <c r="O932" s="9"/>
      <c r="P932" s="9"/>
    </row>
    <row r="933" ht="30.0" customHeight="1">
      <c r="A933" s="5"/>
      <c r="B933" s="5"/>
      <c r="C933" s="6"/>
      <c r="D933" s="18"/>
      <c r="E933" s="8"/>
      <c r="F933" s="8"/>
      <c r="G933" s="8"/>
      <c r="H933" s="9"/>
      <c r="I933" s="9"/>
      <c r="J933" s="9"/>
      <c r="K933" s="9"/>
      <c r="L933" s="9"/>
      <c r="M933" s="9"/>
      <c r="N933" s="9"/>
      <c r="O933" s="9"/>
      <c r="P933" s="9"/>
    </row>
    <row r="934" ht="30.0" customHeight="1">
      <c r="A934" s="5"/>
      <c r="B934" s="5"/>
      <c r="C934" s="6"/>
      <c r="D934" s="18"/>
      <c r="E934" s="8"/>
      <c r="F934" s="8"/>
      <c r="G934" s="8"/>
      <c r="H934" s="9"/>
      <c r="I934" s="9"/>
      <c r="J934" s="9"/>
      <c r="K934" s="9"/>
      <c r="L934" s="9"/>
      <c r="M934" s="9"/>
      <c r="N934" s="9"/>
      <c r="O934" s="9"/>
      <c r="P934" s="9"/>
    </row>
    <row r="935" ht="30.0" customHeight="1">
      <c r="A935" s="5"/>
      <c r="B935" s="5"/>
      <c r="C935" s="6"/>
      <c r="D935" s="18"/>
      <c r="E935" s="8"/>
      <c r="F935" s="8"/>
      <c r="G935" s="8"/>
      <c r="H935" s="9"/>
      <c r="I935" s="9"/>
      <c r="J935" s="9"/>
      <c r="K935" s="9"/>
      <c r="L935" s="9"/>
      <c r="M935" s="9"/>
      <c r="N935" s="9"/>
      <c r="O935" s="9"/>
      <c r="P935" s="9"/>
    </row>
    <row r="936" ht="30.0" customHeight="1">
      <c r="A936" s="5"/>
      <c r="B936" s="5"/>
      <c r="C936" s="6"/>
      <c r="D936" s="18"/>
      <c r="E936" s="8"/>
      <c r="F936" s="8"/>
      <c r="G936" s="8"/>
      <c r="H936" s="9"/>
      <c r="I936" s="9"/>
      <c r="J936" s="9"/>
      <c r="K936" s="9"/>
      <c r="L936" s="9"/>
      <c r="M936" s="9"/>
      <c r="N936" s="9"/>
      <c r="O936" s="9"/>
      <c r="P936" s="9"/>
    </row>
    <row r="937" ht="30.0" customHeight="1">
      <c r="A937" s="5"/>
      <c r="B937" s="5"/>
      <c r="C937" s="6"/>
      <c r="D937" s="18"/>
      <c r="E937" s="8"/>
      <c r="F937" s="8"/>
      <c r="G937" s="8"/>
      <c r="H937" s="9"/>
      <c r="I937" s="9"/>
      <c r="J937" s="9"/>
      <c r="K937" s="9"/>
      <c r="L937" s="9"/>
      <c r="M937" s="9"/>
      <c r="N937" s="9"/>
      <c r="O937" s="9"/>
      <c r="P937" s="9"/>
    </row>
    <row r="938" ht="30.0" customHeight="1">
      <c r="A938" s="5"/>
      <c r="B938" s="5"/>
      <c r="C938" s="6"/>
      <c r="D938" s="18"/>
      <c r="E938" s="8"/>
      <c r="F938" s="8"/>
      <c r="G938" s="8"/>
      <c r="H938" s="9"/>
      <c r="I938" s="9"/>
      <c r="J938" s="9"/>
      <c r="K938" s="9"/>
      <c r="L938" s="9"/>
      <c r="M938" s="9"/>
      <c r="N938" s="9"/>
      <c r="O938" s="9"/>
      <c r="P938" s="9"/>
    </row>
    <row r="939" ht="30.0" customHeight="1">
      <c r="A939" s="5"/>
      <c r="B939" s="5"/>
      <c r="C939" s="6"/>
      <c r="D939" s="18"/>
      <c r="E939" s="8"/>
      <c r="F939" s="8"/>
      <c r="G939" s="8"/>
      <c r="H939" s="9"/>
      <c r="I939" s="9"/>
      <c r="J939" s="9"/>
      <c r="K939" s="9"/>
      <c r="L939" s="9"/>
      <c r="M939" s="9"/>
      <c r="N939" s="9"/>
      <c r="O939" s="9"/>
      <c r="P939" s="9"/>
    </row>
    <row r="940" ht="30.0" customHeight="1">
      <c r="A940" s="5"/>
      <c r="B940" s="5"/>
      <c r="C940" s="6"/>
      <c r="D940" s="18"/>
      <c r="E940" s="8"/>
      <c r="F940" s="8"/>
      <c r="G940" s="8"/>
      <c r="H940" s="9"/>
      <c r="I940" s="9"/>
      <c r="J940" s="9"/>
      <c r="K940" s="9"/>
      <c r="L940" s="9"/>
      <c r="M940" s="9"/>
      <c r="N940" s="9"/>
      <c r="O940" s="9"/>
      <c r="P940" s="9"/>
    </row>
    <row r="941" ht="30.0" customHeight="1">
      <c r="A941" s="5"/>
      <c r="B941" s="5"/>
      <c r="C941" s="6"/>
      <c r="D941" s="18"/>
      <c r="E941" s="8"/>
      <c r="F941" s="8"/>
      <c r="G941" s="8"/>
      <c r="H941" s="9"/>
      <c r="I941" s="9"/>
      <c r="J941" s="9"/>
      <c r="K941" s="9"/>
      <c r="L941" s="9"/>
      <c r="M941" s="9"/>
      <c r="N941" s="9"/>
      <c r="O941" s="9"/>
      <c r="P941" s="9"/>
    </row>
    <row r="942" ht="30.0" customHeight="1">
      <c r="A942" s="5"/>
      <c r="B942" s="5"/>
      <c r="C942" s="6"/>
      <c r="D942" s="18"/>
      <c r="E942" s="8"/>
      <c r="F942" s="8"/>
      <c r="G942" s="8"/>
      <c r="H942" s="9"/>
      <c r="I942" s="9"/>
      <c r="J942" s="9"/>
      <c r="K942" s="9"/>
      <c r="L942" s="9"/>
      <c r="M942" s="9"/>
      <c r="N942" s="9"/>
      <c r="O942" s="9"/>
      <c r="P942" s="9"/>
    </row>
    <row r="943" ht="30.0" customHeight="1">
      <c r="A943" s="5"/>
      <c r="B943" s="5"/>
      <c r="C943" s="6"/>
      <c r="D943" s="18"/>
      <c r="E943" s="8"/>
      <c r="F943" s="8"/>
      <c r="G943" s="8"/>
      <c r="H943" s="9"/>
      <c r="I943" s="9"/>
      <c r="J943" s="9"/>
      <c r="K943" s="9"/>
      <c r="L943" s="9"/>
      <c r="M943" s="9"/>
      <c r="N943" s="9"/>
      <c r="O943" s="9"/>
      <c r="P943" s="9"/>
    </row>
    <row r="944" ht="30.0" customHeight="1">
      <c r="A944" s="5"/>
      <c r="B944" s="5"/>
      <c r="C944" s="6"/>
      <c r="D944" s="18"/>
      <c r="E944" s="8"/>
      <c r="F944" s="8"/>
      <c r="G944" s="8"/>
      <c r="H944" s="9"/>
      <c r="I944" s="9"/>
      <c r="J944" s="9"/>
      <c r="K944" s="9"/>
      <c r="L944" s="9"/>
      <c r="M944" s="9"/>
      <c r="N944" s="9"/>
      <c r="O944" s="9"/>
      <c r="P944" s="9"/>
    </row>
    <row r="945" ht="30.0" customHeight="1">
      <c r="A945" s="5"/>
      <c r="B945" s="5"/>
      <c r="C945" s="6"/>
      <c r="D945" s="18"/>
      <c r="E945" s="8"/>
      <c r="F945" s="8"/>
      <c r="G945" s="8"/>
      <c r="H945" s="9"/>
      <c r="I945" s="9"/>
      <c r="J945" s="9"/>
      <c r="K945" s="9"/>
      <c r="L945" s="9"/>
      <c r="M945" s="9"/>
      <c r="N945" s="9"/>
      <c r="O945" s="9"/>
      <c r="P945" s="9"/>
    </row>
    <row r="946" ht="30.0" customHeight="1">
      <c r="A946" s="5"/>
      <c r="B946" s="5"/>
      <c r="C946" s="6"/>
      <c r="D946" s="18"/>
      <c r="E946" s="8"/>
      <c r="F946" s="8"/>
      <c r="G946" s="8"/>
      <c r="H946" s="9"/>
      <c r="I946" s="9"/>
      <c r="J946" s="9"/>
      <c r="K946" s="9"/>
      <c r="L946" s="9"/>
      <c r="M946" s="9"/>
      <c r="N946" s="9"/>
      <c r="O946" s="9"/>
      <c r="P946" s="9"/>
    </row>
    <row r="947" ht="30.0" customHeight="1">
      <c r="A947" s="5"/>
      <c r="B947" s="5"/>
      <c r="C947" s="6"/>
      <c r="D947" s="18"/>
      <c r="E947" s="8"/>
      <c r="F947" s="8"/>
      <c r="G947" s="8"/>
      <c r="H947" s="9"/>
      <c r="I947" s="9"/>
      <c r="J947" s="9"/>
      <c r="K947" s="9"/>
      <c r="L947" s="9"/>
      <c r="M947" s="9"/>
      <c r="N947" s="9"/>
      <c r="O947" s="9"/>
      <c r="P947" s="9"/>
    </row>
    <row r="948" ht="30.0" customHeight="1">
      <c r="A948" s="5"/>
      <c r="B948" s="5"/>
      <c r="C948" s="6"/>
      <c r="D948" s="18"/>
      <c r="E948" s="8"/>
      <c r="F948" s="8"/>
      <c r="G948" s="8"/>
      <c r="H948" s="9"/>
      <c r="I948" s="9"/>
      <c r="J948" s="9"/>
      <c r="K948" s="9"/>
      <c r="L948" s="9"/>
      <c r="M948" s="9"/>
      <c r="N948" s="9"/>
      <c r="O948" s="9"/>
      <c r="P948" s="9"/>
    </row>
    <row r="949" ht="30.0" customHeight="1">
      <c r="A949" s="5"/>
      <c r="B949" s="5"/>
      <c r="C949" s="6"/>
      <c r="D949" s="18"/>
      <c r="E949" s="8"/>
      <c r="F949" s="8"/>
      <c r="G949" s="8"/>
      <c r="H949" s="9"/>
      <c r="I949" s="9"/>
      <c r="J949" s="9"/>
      <c r="K949" s="9"/>
      <c r="L949" s="9"/>
      <c r="M949" s="9"/>
      <c r="N949" s="9"/>
      <c r="O949" s="9"/>
      <c r="P949" s="9"/>
    </row>
    <row r="950" ht="30.0" customHeight="1">
      <c r="A950" s="5"/>
      <c r="B950" s="5"/>
      <c r="C950" s="6"/>
      <c r="D950" s="18"/>
      <c r="E950" s="8"/>
      <c r="F950" s="8"/>
      <c r="G950" s="8"/>
      <c r="H950" s="9"/>
      <c r="I950" s="9"/>
      <c r="J950" s="9"/>
      <c r="K950" s="9"/>
      <c r="L950" s="9"/>
      <c r="M950" s="9"/>
      <c r="N950" s="9"/>
      <c r="O950" s="9"/>
      <c r="P950" s="9"/>
    </row>
    <row r="951" ht="30.0" customHeight="1">
      <c r="A951" s="5"/>
      <c r="B951" s="5"/>
      <c r="C951" s="6"/>
      <c r="D951" s="18"/>
      <c r="E951" s="8"/>
      <c r="F951" s="8"/>
      <c r="G951" s="8"/>
      <c r="H951" s="9"/>
      <c r="I951" s="9"/>
      <c r="J951" s="9"/>
      <c r="K951" s="9"/>
      <c r="L951" s="9"/>
      <c r="M951" s="9"/>
      <c r="N951" s="9"/>
      <c r="O951" s="9"/>
      <c r="P951" s="9"/>
    </row>
    <row r="952" ht="30.0" customHeight="1">
      <c r="A952" s="5"/>
      <c r="B952" s="5"/>
      <c r="C952" s="6"/>
      <c r="D952" s="18"/>
      <c r="E952" s="8"/>
      <c r="F952" s="8"/>
      <c r="G952" s="8"/>
      <c r="H952" s="9"/>
      <c r="I952" s="9"/>
      <c r="J952" s="9"/>
      <c r="K952" s="9"/>
      <c r="L952" s="9"/>
      <c r="M952" s="9"/>
      <c r="N952" s="9"/>
      <c r="O952" s="9"/>
      <c r="P952" s="9"/>
    </row>
    <row r="953" ht="30.0" customHeight="1">
      <c r="A953" s="5"/>
      <c r="B953" s="5"/>
      <c r="C953" s="6"/>
      <c r="D953" s="18"/>
      <c r="E953" s="8"/>
      <c r="F953" s="8"/>
      <c r="G953" s="8"/>
      <c r="H953" s="9"/>
      <c r="I953" s="9"/>
      <c r="J953" s="9"/>
      <c r="K953" s="9"/>
      <c r="L953" s="9"/>
      <c r="M953" s="9"/>
      <c r="N953" s="9"/>
      <c r="O953" s="9"/>
      <c r="P953" s="9"/>
    </row>
    <row r="954" ht="30.0" customHeight="1">
      <c r="A954" s="5"/>
      <c r="B954" s="5"/>
      <c r="C954" s="6"/>
      <c r="D954" s="18"/>
      <c r="E954" s="8"/>
      <c r="F954" s="8"/>
      <c r="G954" s="8"/>
      <c r="H954" s="9"/>
      <c r="I954" s="9"/>
      <c r="J954" s="9"/>
      <c r="K954" s="9"/>
      <c r="L954" s="9"/>
      <c r="M954" s="9"/>
      <c r="N954" s="9"/>
      <c r="O954" s="9"/>
      <c r="P954" s="9"/>
    </row>
    <row r="955" ht="30.0" customHeight="1">
      <c r="A955" s="5"/>
      <c r="B955" s="5"/>
      <c r="C955" s="6"/>
      <c r="D955" s="18"/>
      <c r="E955" s="8"/>
      <c r="F955" s="8"/>
      <c r="G955" s="8"/>
      <c r="H955" s="9"/>
      <c r="I955" s="9"/>
      <c r="J955" s="9"/>
      <c r="K955" s="9"/>
      <c r="L955" s="9"/>
      <c r="M955" s="9"/>
      <c r="N955" s="9"/>
      <c r="O955" s="9"/>
      <c r="P955" s="9"/>
    </row>
    <row r="956" ht="30.0" customHeight="1">
      <c r="A956" s="5"/>
      <c r="B956" s="5"/>
      <c r="C956" s="6"/>
      <c r="D956" s="18"/>
      <c r="E956" s="8"/>
      <c r="F956" s="8"/>
      <c r="G956" s="8"/>
      <c r="H956" s="9"/>
      <c r="I956" s="9"/>
      <c r="J956" s="9"/>
      <c r="K956" s="9"/>
      <c r="L956" s="9"/>
      <c r="M956" s="9"/>
      <c r="N956" s="9"/>
      <c r="O956" s="9"/>
      <c r="P956" s="9"/>
    </row>
    <row r="957" ht="30.0" customHeight="1">
      <c r="A957" s="5"/>
      <c r="B957" s="5"/>
      <c r="C957" s="6"/>
      <c r="D957" s="18"/>
      <c r="E957" s="8"/>
      <c r="F957" s="8"/>
      <c r="G957" s="8"/>
      <c r="H957" s="9"/>
      <c r="I957" s="9"/>
      <c r="J957" s="9"/>
      <c r="K957" s="9"/>
      <c r="L957" s="9"/>
      <c r="M957" s="9"/>
      <c r="N957" s="9"/>
      <c r="O957" s="9"/>
      <c r="P957" s="9"/>
    </row>
    <row r="958" ht="30.0" customHeight="1">
      <c r="A958" s="5"/>
      <c r="B958" s="5"/>
      <c r="C958" s="6"/>
      <c r="D958" s="18"/>
      <c r="E958" s="8"/>
      <c r="F958" s="8"/>
      <c r="G958" s="8"/>
      <c r="H958" s="9"/>
      <c r="I958" s="9"/>
      <c r="J958" s="9"/>
      <c r="K958" s="9"/>
      <c r="L958" s="9"/>
      <c r="M958" s="9"/>
      <c r="N958" s="9"/>
      <c r="O958" s="9"/>
      <c r="P958" s="9"/>
    </row>
    <row r="959" ht="30.0" customHeight="1">
      <c r="A959" s="5"/>
      <c r="B959" s="5"/>
      <c r="C959" s="6"/>
      <c r="D959" s="18"/>
      <c r="E959" s="8"/>
      <c r="F959" s="8"/>
      <c r="G959" s="8"/>
      <c r="H959" s="9"/>
      <c r="I959" s="9"/>
      <c r="J959" s="9"/>
      <c r="K959" s="9"/>
      <c r="L959" s="9"/>
      <c r="M959" s="9"/>
      <c r="N959" s="9"/>
      <c r="O959" s="9"/>
      <c r="P959" s="9"/>
    </row>
    <row r="960" ht="30.0" customHeight="1">
      <c r="A960" s="5"/>
      <c r="B960" s="5"/>
      <c r="C960" s="6"/>
      <c r="D960" s="18"/>
      <c r="E960" s="8"/>
      <c r="F960" s="8"/>
      <c r="G960" s="8"/>
      <c r="H960" s="9"/>
      <c r="I960" s="9"/>
      <c r="J960" s="9"/>
      <c r="K960" s="9"/>
      <c r="L960" s="9"/>
      <c r="M960" s="9"/>
      <c r="N960" s="9"/>
      <c r="O960" s="9"/>
      <c r="P960" s="9"/>
    </row>
    <row r="961" ht="30.0" customHeight="1">
      <c r="A961" s="5"/>
      <c r="B961" s="5"/>
      <c r="C961" s="6"/>
      <c r="D961" s="18"/>
      <c r="E961" s="8"/>
      <c r="F961" s="8"/>
      <c r="G961" s="8"/>
      <c r="H961" s="9"/>
      <c r="I961" s="9"/>
      <c r="J961" s="9"/>
      <c r="K961" s="9"/>
      <c r="L961" s="9"/>
      <c r="M961" s="9"/>
      <c r="N961" s="9"/>
      <c r="O961" s="9"/>
      <c r="P961" s="9"/>
    </row>
    <row r="962" ht="30.0" customHeight="1">
      <c r="A962" s="5"/>
      <c r="B962" s="5"/>
      <c r="C962" s="6"/>
      <c r="D962" s="18"/>
      <c r="E962" s="8"/>
      <c r="F962" s="8"/>
      <c r="G962" s="8"/>
      <c r="H962" s="9"/>
      <c r="I962" s="9"/>
      <c r="J962" s="9"/>
      <c r="K962" s="9"/>
      <c r="L962" s="9"/>
      <c r="M962" s="9"/>
      <c r="N962" s="9"/>
      <c r="O962" s="9"/>
      <c r="P962" s="9"/>
    </row>
    <row r="963" ht="30.0" customHeight="1">
      <c r="A963" s="5"/>
      <c r="B963" s="5"/>
      <c r="C963" s="6"/>
      <c r="D963" s="18"/>
      <c r="E963" s="8"/>
      <c r="F963" s="8"/>
      <c r="G963" s="8"/>
      <c r="H963" s="9"/>
      <c r="I963" s="9"/>
      <c r="J963" s="9"/>
      <c r="K963" s="9"/>
      <c r="L963" s="9"/>
      <c r="M963" s="9"/>
      <c r="N963" s="9"/>
      <c r="O963" s="9"/>
      <c r="P963" s="9"/>
    </row>
    <row r="964" ht="30.0" customHeight="1">
      <c r="A964" s="5"/>
      <c r="B964" s="5"/>
      <c r="C964" s="6"/>
      <c r="D964" s="18"/>
      <c r="E964" s="8"/>
      <c r="F964" s="8"/>
      <c r="G964" s="8"/>
      <c r="H964" s="9"/>
      <c r="I964" s="9"/>
      <c r="J964" s="9"/>
      <c r="K964" s="9"/>
      <c r="L964" s="9"/>
      <c r="M964" s="9"/>
      <c r="N964" s="9"/>
      <c r="O964" s="9"/>
      <c r="P964" s="9"/>
    </row>
    <row r="965" ht="30.0" customHeight="1">
      <c r="A965" s="5"/>
      <c r="B965" s="5"/>
      <c r="C965" s="6"/>
      <c r="D965" s="18"/>
      <c r="E965" s="8"/>
      <c r="F965" s="8"/>
      <c r="G965" s="8"/>
      <c r="H965" s="9"/>
      <c r="I965" s="9"/>
      <c r="J965" s="9"/>
      <c r="K965" s="9"/>
      <c r="L965" s="9"/>
      <c r="M965" s="9"/>
      <c r="N965" s="9"/>
      <c r="O965" s="9"/>
      <c r="P965" s="9"/>
    </row>
    <row r="966" ht="30.0" customHeight="1">
      <c r="A966" s="5"/>
      <c r="B966" s="5"/>
      <c r="C966" s="6"/>
      <c r="D966" s="18"/>
      <c r="E966" s="8"/>
      <c r="F966" s="8"/>
      <c r="G966" s="8"/>
      <c r="H966" s="9"/>
      <c r="I966" s="9"/>
      <c r="J966" s="9"/>
      <c r="K966" s="9"/>
      <c r="L966" s="9"/>
      <c r="M966" s="9"/>
      <c r="N966" s="9"/>
      <c r="O966" s="9"/>
      <c r="P966" s="9"/>
    </row>
    <row r="967" ht="30.0" customHeight="1">
      <c r="A967" s="5"/>
      <c r="B967" s="5"/>
      <c r="C967" s="6"/>
      <c r="D967" s="18"/>
      <c r="E967" s="8"/>
      <c r="F967" s="8"/>
      <c r="G967" s="8"/>
      <c r="H967" s="9"/>
      <c r="I967" s="9"/>
      <c r="J967" s="9"/>
      <c r="K967" s="9"/>
      <c r="L967" s="9"/>
      <c r="M967" s="9"/>
      <c r="N967" s="9"/>
      <c r="O967" s="9"/>
      <c r="P967" s="9"/>
    </row>
    <row r="968" ht="30.0" customHeight="1">
      <c r="A968" s="5"/>
      <c r="B968" s="5"/>
      <c r="C968" s="6"/>
      <c r="D968" s="18"/>
      <c r="E968" s="8"/>
      <c r="F968" s="8"/>
      <c r="G968" s="8"/>
      <c r="H968" s="9"/>
      <c r="I968" s="9"/>
      <c r="J968" s="9"/>
      <c r="K968" s="9"/>
      <c r="L968" s="9"/>
      <c r="M968" s="9"/>
      <c r="N968" s="9"/>
      <c r="O968" s="9"/>
      <c r="P968" s="9"/>
    </row>
    <row r="969" ht="30.0" customHeight="1">
      <c r="A969" s="5"/>
      <c r="B969" s="5"/>
      <c r="C969" s="6"/>
      <c r="D969" s="18"/>
      <c r="E969" s="8"/>
      <c r="F969" s="8"/>
      <c r="G969" s="8"/>
      <c r="H969" s="9"/>
      <c r="I969" s="9"/>
      <c r="J969" s="9"/>
      <c r="K969" s="9"/>
      <c r="L969" s="9"/>
      <c r="M969" s="9"/>
      <c r="N969" s="9"/>
      <c r="O969" s="9"/>
      <c r="P969" s="9"/>
    </row>
    <row r="970" ht="30.0" customHeight="1">
      <c r="A970" s="5"/>
      <c r="B970" s="5"/>
      <c r="C970" s="6"/>
      <c r="D970" s="18"/>
      <c r="E970" s="8"/>
      <c r="F970" s="8"/>
      <c r="G970" s="8"/>
      <c r="H970" s="9"/>
      <c r="I970" s="9"/>
      <c r="J970" s="9"/>
      <c r="K970" s="9"/>
      <c r="L970" s="9"/>
      <c r="M970" s="9"/>
      <c r="N970" s="9"/>
      <c r="O970" s="9"/>
      <c r="P970" s="9"/>
    </row>
    <row r="971" ht="30.0" customHeight="1">
      <c r="A971" s="5"/>
      <c r="B971" s="5"/>
      <c r="C971" s="6"/>
      <c r="D971" s="18"/>
      <c r="E971" s="8"/>
      <c r="F971" s="8"/>
      <c r="G971" s="8"/>
      <c r="H971" s="9"/>
      <c r="I971" s="9"/>
      <c r="J971" s="9"/>
      <c r="K971" s="9"/>
      <c r="L971" s="9"/>
      <c r="M971" s="9"/>
      <c r="N971" s="9"/>
      <c r="O971" s="9"/>
      <c r="P971" s="9"/>
    </row>
    <row r="972" ht="30.0" customHeight="1">
      <c r="A972" s="5"/>
      <c r="B972" s="5"/>
      <c r="C972" s="6"/>
      <c r="D972" s="18"/>
      <c r="E972" s="8"/>
      <c r="F972" s="8"/>
      <c r="G972" s="8"/>
      <c r="H972" s="9"/>
      <c r="I972" s="9"/>
      <c r="J972" s="9"/>
      <c r="K972" s="9"/>
      <c r="L972" s="9"/>
      <c r="M972" s="9"/>
      <c r="N972" s="9"/>
      <c r="O972" s="9"/>
      <c r="P972" s="9"/>
    </row>
    <row r="973" ht="30.0" customHeight="1">
      <c r="A973" s="5"/>
      <c r="B973" s="5"/>
      <c r="C973" s="6"/>
      <c r="D973" s="18"/>
      <c r="E973" s="8"/>
      <c r="F973" s="8"/>
      <c r="G973" s="8"/>
      <c r="H973" s="9"/>
      <c r="I973" s="9"/>
      <c r="J973" s="9"/>
      <c r="K973" s="9"/>
      <c r="L973" s="9"/>
      <c r="M973" s="9"/>
      <c r="N973" s="9"/>
      <c r="O973" s="9"/>
      <c r="P973" s="9"/>
    </row>
    <row r="974" ht="30.0" customHeight="1">
      <c r="A974" s="5"/>
      <c r="B974" s="5"/>
      <c r="C974" s="6"/>
      <c r="D974" s="18"/>
      <c r="E974" s="8"/>
      <c r="F974" s="8"/>
      <c r="G974" s="8"/>
      <c r="H974" s="9"/>
      <c r="I974" s="9"/>
      <c r="J974" s="9"/>
      <c r="K974" s="9"/>
      <c r="L974" s="9"/>
      <c r="M974" s="9"/>
      <c r="N974" s="9"/>
      <c r="O974" s="9"/>
      <c r="P974" s="9"/>
    </row>
    <row r="975" ht="30.0" customHeight="1">
      <c r="A975" s="5"/>
      <c r="B975" s="5"/>
      <c r="C975" s="6"/>
      <c r="D975" s="18"/>
      <c r="E975" s="8"/>
      <c r="F975" s="8"/>
      <c r="G975" s="8"/>
      <c r="H975" s="9"/>
      <c r="I975" s="9"/>
      <c r="J975" s="9"/>
      <c r="K975" s="9"/>
      <c r="L975" s="9"/>
      <c r="M975" s="9"/>
      <c r="N975" s="9"/>
      <c r="O975" s="9"/>
      <c r="P975" s="9"/>
    </row>
    <row r="976" ht="30.0" customHeight="1">
      <c r="A976" s="5"/>
      <c r="B976" s="5"/>
      <c r="C976" s="6"/>
      <c r="D976" s="18"/>
      <c r="E976" s="8"/>
      <c r="F976" s="8"/>
      <c r="G976" s="8"/>
      <c r="H976" s="9"/>
      <c r="I976" s="9"/>
      <c r="J976" s="9"/>
      <c r="K976" s="9"/>
      <c r="L976" s="9"/>
      <c r="M976" s="9"/>
      <c r="N976" s="9"/>
      <c r="O976" s="9"/>
      <c r="P976" s="9"/>
    </row>
    <row r="977" ht="30.0" customHeight="1">
      <c r="A977" s="5"/>
      <c r="B977" s="5"/>
      <c r="C977" s="6"/>
      <c r="D977" s="18"/>
      <c r="E977" s="8"/>
      <c r="F977" s="8"/>
      <c r="G977" s="8"/>
      <c r="H977" s="9"/>
      <c r="I977" s="9"/>
      <c r="J977" s="9"/>
      <c r="K977" s="9"/>
      <c r="L977" s="9"/>
      <c r="M977" s="9"/>
      <c r="N977" s="9"/>
      <c r="O977" s="9"/>
      <c r="P977" s="9"/>
    </row>
    <row r="978" ht="30.0" customHeight="1">
      <c r="A978" s="5"/>
      <c r="B978" s="5"/>
      <c r="C978" s="6"/>
      <c r="D978" s="18"/>
      <c r="E978" s="8"/>
      <c r="F978" s="8"/>
      <c r="G978" s="8"/>
      <c r="H978" s="9"/>
      <c r="I978" s="9"/>
      <c r="J978" s="9"/>
      <c r="K978" s="9"/>
      <c r="L978" s="9"/>
      <c r="M978" s="9"/>
      <c r="N978" s="9"/>
      <c r="O978" s="9"/>
      <c r="P978" s="9"/>
    </row>
    <row r="979" ht="30.0" customHeight="1">
      <c r="A979" s="5"/>
      <c r="B979" s="5"/>
      <c r="C979" s="6"/>
      <c r="D979" s="18"/>
      <c r="E979" s="8"/>
      <c r="F979" s="8"/>
      <c r="G979" s="8"/>
      <c r="H979" s="9"/>
      <c r="I979" s="9"/>
      <c r="J979" s="9"/>
      <c r="K979" s="9"/>
      <c r="L979" s="9"/>
      <c r="M979" s="9"/>
      <c r="N979" s="9"/>
      <c r="O979" s="9"/>
      <c r="P979" s="9"/>
    </row>
    <row r="980" ht="30.0" customHeight="1">
      <c r="A980" s="5"/>
      <c r="B980" s="5"/>
      <c r="C980" s="6"/>
      <c r="D980" s="18"/>
      <c r="E980" s="8"/>
      <c r="F980" s="8"/>
      <c r="G980" s="8"/>
      <c r="H980" s="9"/>
      <c r="I980" s="9"/>
      <c r="J980" s="9"/>
      <c r="K980" s="9"/>
      <c r="L980" s="9"/>
      <c r="M980" s="9"/>
      <c r="N980" s="9"/>
      <c r="O980" s="9"/>
      <c r="P980" s="9"/>
    </row>
    <row r="981" ht="30.0" customHeight="1">
      <c r="A981" s="5"/>
      <c r="B981" s="5"/>
      <c r="C981" s="6"/>
      <c r="D981" s="18"/>
      <c r="E981" s="8"/>
      <c r="F981" s="8"/>
      <c r="G981" s="8"/>
      <c r="H981" s="9"/>
      <c r="I981" s="9"/>
      <c r="J981" s="9"/>
      <c r="K981" s="9"/>
      <c r="L981" s="9"/>
      <c r="M981" s="9"/>
      <c r="N981" s="9"/>
      <c r="O981" s="9"/>
      <c r="P981" s="9"/>
    </row>
    <row r="982" ht="30.0" customHeight="1">
      <c r="A982" s="5"/>
      <c r="B982" s="5"/>
      <c r="C982" s="6"/>
      <c r="D982" s="18"/>
      <c r="E982" s="8"/>
      <c r="F982" s="8"/>
      <c r="G982" s="8"/>
      <c r="H982" s="9"/>
      <c r="I982" s="9"/>
      <c r="J982" s="9"/>
      <c r="K982" s="9"/>
      <c r="L982" s="9"/>
      <c r="M982" s="9"/>
      <c r="N982" s="9"/>
      <c r="O982" s="9"/>
      <c r="P982" s="9"/>
    </row>
    <row r="983" ht="30.0" customHeight="1">
      <c r="A983" s="5"/>
      <c r="B983" s="5"/>
      <c r="C983" s="6"/>
      <c r="D983" s="18"/>
      <c r="E983" s="8"/>
      <c r="F983" s="8"/>
      <c r="G983" s="8"/>
      <c r="H983" s="9"/>
      <c r="I983" s="9"/>
      <c r="J983" s="9"/>
      <c r="K983" s="9"/>
      <c r="L983" s="9"/>
      <c r="M983" s="9"/>
      <c r="N983" s="9"/>
      <c r="O983" s="9"/>
      <c r="P983" s="9"/>
    </row>
    <row r="984" ht="30.0" customHeight="1">
      <c r="A984" s="5"/>
      <c r="B984" s="5"/>
      <c r="C984" s="6"/>
      <c r="D984" s="18"/>
      <c r="E984" s="8"/>
      <c r="F984" s="8"/>
      <c r="G984" s="8"/>
      <c r="H984" s="9"/>
      <c r="I984" s="9"/>
      <c r="J984" s="9"/>
      <c r="K984" s="9"/>
      <c r="L984" s="9"/>
      <c r="M984" s="9"/>
      <c r="N984" s="9"/>
      <c r="O984" s="9"/>
      <c r="P984" s="9"/>
    </row>
    <row r="985" ht="30.0" customHeight="1">
      <c r="A985" s="5"/>
      <c r="B985" s="5"/>
      <c r="C985" s="6"/>
      <c r="D985" s="18"/>
      <c r="E985" s="8"/>
      <c r="F985" s="8"/>
      <c r="G985" s="8"/>
      <c r="H985" s="9"/>
      <c r="I985" s="9"/>
      <c r="J985" s="9"/>
      <c r="K985" s="9"/>
      <c r="L985" s="9"/>
      <c r="M985" s="9"/>
      <c r="N985" s="9"/>
      <c r="O985" s="9"/>
      <c r="P985" s="9"/>
    </row>
    <row r="986" ht="30.0" customHeight="1">
      <c r="A986" s="5"/>
      <c r="B986" s="5"/>
      <c r="C986" s="6"/>
      <c r="D986" s="18"/>
      <c r="E986" s="8"/>
      <c r="F986" s="8"/>
      <c r="G986" s="8"/>
      <c r="H986" s="9"/>
      <c r="I986" s="9"/>
      <c r="J986" s="9"/>
      <c r="K986" s="9"/>
      <c r="L986" s="9"/>
      <c r="M986" s="9"/>
      <c r="N986" s="9"/>
      <c r="O986" s="9"/>
      <c r="P986" s="9"/>
    </row>
    <row r="987" ht="30.0" customHeight="1">
      <c r="A987" s="5"/>
      <c r="B987" s="5"/>
      <c r="C987" s="6"/>
      <c r="D987" s="18"/>
      <c r="E987" s="8"/>
      <c r="F987" s="8"/>
      <c r="G987" s="8"/>
      <c r="H987" s="9"/>
      <c r="I987" s="9"/>
      <c r="J987" s="9"/>
      <c r="K987" s="9"/>
      <c r="L987" s="9"/>
      <c r="M987" s="9"/>
      <c r="N987" s="9"/>
      <c r="O987" s="9"/>
      <c r="P987" s="9"/>
    </row>
    <row r="988" ht="30.0" customHeight="1">
      <c r="A988" s="5"/>
      <c r="B988" s="5"/>
      <c r="C988" s="6"/>
      <c r="D988" s="18"/>
      <c r="E988" s="8"/>
      <c r="F988" s="8"/>
      <c r="G988" s="8"/>
      <c r="H988" s="9"/>
      <c r="I988" s="9"/>
      <c r="J988" s="9"/>
      <c r="K988" s="9"/>
      <c r="L988" s="9"/>
      <c r="M988" s="9"/>
      <c r="N988" s="9"/>
      <c r="O988" s="9"/>
      <c r="P988" s="9"/>
    </row>
    <row r="989" ht="30.0" customHeight="1">
      <c r="A989" s="5"/>
      <c r="B989" s="5"/>
      <c r="C989" s="6"/>
      <c r="D989" s="18"/>
      <c r="E989" s="8"/>
      <c r="F989" s="8"/>
      <c r="G989" s="8"/>
      <c r="H989" s="9"/>
      <c r="I989" s="9"/>
      <c r="J989" s="9"/>
      <c r="K989" s="9"/>
      <c r="L989" s="9"/>
      <c r="M989" s="9"/>
      <c r="N989" s="9"/>
      <c r="O989" s="9"/>
      <c r="P989" s="9"/>
    </row>
    <row r="990" ht="30.0" customHeight="1">
      <c r="A990" s="5"/>
      <c r="B990" s="5"/>
      <c r="C990" s="6"/>
      <c r="D990" s="18"/>
      <c r="E990" s="8"/>
      <c r="F990" s="8"/>
      <c r="G990" s="8"/>
      <c r="H990" s="9"/>
      <c r="I990" s="9"/>
      <c r="J990" s="9"/>
      <c r="K990" s="9"/>
      <c r="L990" s="9"/>
      <c r="M990" s="9"/>
      <c r="N990" s="9"/>
      <c r="O990" s="9"/>
      <c r="P990" s="9"/>
    </row>
    <row r="991" ht="30.0" customHeight="1">
      <c r="A991" s="5"/>
      <c r="B991" s="5"/>
      <c r="C991" s="6"/>
      <c r="D991" s="18"/>
      <c r="E991" s="8"/>
      <c r="F991" s="8"/>
      <c r="G991" s="8"/>
      <c r="H991" s="9"/>
      <c r="I991" s="9"/>
      <c r="J991" s="9"/>
      <c r="K991" s="9"/>
      <c r="L991" s="9"/>
      <c r="M991" s="9"/>
      <c r="N991" s="9"/>
      <c r="O991" s="9"/>
      <c r="P991" s="9"/>
    </row>
    <row r="992" ht="30.0" customHeight="1">
      <c r="A992" s="5"/>
      <c r="B992" s="5"/>
      <c r="C992" s="6"/>
      <c r="D992" s="18"/>
      <c r="E992" s="8"/>
      <c r="F992" s="8"/>
      <c r="G992" s="8"/>
      <c r="H992" s="9"/>
      <c r="I992" s="9"/>
      <c r="J992" s="9"/>
      <c r="K992" s="9"/>
      <c r="L992" s="9"/>
      <c r="M992" s="9"/>
      <c r="N992" s="9"/>
      <c r="O992" s="9"/>
      <c r="P992" s="9"/>
    </row>
    <row r="993" ht="30.0" customHeight="1">
      <c r="A993" s="5"/>
      <c r="B993" s="5"/>
      <c r="C993" s="6"/>
      <c r="D993" s="18"/>
      <c r="E993" s="8"/>
      <c r="F993" s="8"/>
      <c r="G993" s="8"/>
      <c r="H993" s="9"/>
      <c r="I993" s="9"/>
      <c r="J993" s="9"/>
      <c r="K993" s="9"/>
      <c r="L993" s="9"/>
      <c r="M993" s="9"/>
      <c r="N993" s="9"/>
      <c r="O993" s="9"/>
      <c r="P993" s="9"/>
    </row>
    <row r="994" ht="30.0" customHeight="1">
      <c r="A994" s="5"/>
      <c r="B994" s="5"/>
      <c r="C994" s="6"/>
      <c r="D994" s="18"/>
      <c r="E994" s="8"/>
      <c r="F994" s="8"/>
      <c r="G994" s="8"/>
      <c r="H994" s="9"/>
      <c r="I994" s="9"/>
      <c r="J994" s="9"/>
      <c r="K994" s="9"/>
      <c r="L994" s="9"/>
      <c r="M994" s="9"/>
      <c r="N994" s="9"/>
      <c r="O994" s="9"/>
      <c r="P994" s="9"/>
    </row>
    <row r="995" ht="30.0" customHeight="1">
      <c r="A995" s="5"/>
      <c r="B995" s="5"/>
      <c r="C995" s="6"/>
      <c r="D995" s="18"/>
      <c r="E995" s="8"/>
      <c r="F995" s="8"/>
      <c r="G995" s="8"/>
      <c r="H995" s="9"/>
      <c r="I995" s="9"/>
      <c r="J995" s="9"/>
      <c r="K995" s="9"/>
      <c r="L995" s="9"/>
      <c r="M995" s="9"/>
      <c r="N995" s="9"/>
      <c r="O995" s="9"/>
      <c r="P995" s="9"/>
    </row>
    <row r="996" ht="30.0" customHeight="1">
      <c r="A996" s="5"/>
      <c r="B996" s="5"/>
      <c r="C996" s="6"/>
      <c r="D996" s="18"/>
      <c r="E996" s="8"/>
      <c r="F996" s="8"/>
      <c r="G996" s="8"/>
      <c r="H996" s="9"/>
      <c r="I996" s="9"/>
      <c r="J996" s="9"/>
      <c r="K996" s="9"/>
      <c r="L996" s="9"/>
      <c r="M996" s="9"/>
      <c r="N996" s="9"/>
      <c r="O996" s="9"/>
      <c r="P996" s="9"/>
    </row>
    <row r="997" ht="30.0" customHeight="1">
      <c r="A997" s="5"/>
      <c r="B997" s="5"/>
      <c r="C997" s="6"/>
      <c r="D997" s="18"/>
      <c r="E997" s="8"/>
      <c r="F997" s="8"/>
      <c r="G997" s="8"/>
      <c r="H997" s="9"/>
      <c r="I997" s="9"/>
      <c r="J997" s="9"/>
      <c r="K997" s="9"/>
      <c r="L997" s="9"/>
      <c r="M997" s="9"/>
      <c r="N997" s="9"/>
      <c r="O997" s="9"/>
      <c r="P997" s="9"/>
    </row>
    <row r="998" ht="30.0" customHeight="1">
      <c r="A998" s="5"/>
      <c r="B998" s="5"/>
      <c r="C998" s="6"/>
      <c r="D998" s="18"/>
      <c r="E998" s="8"/>
      <c r="F998" s="8"/>
      <c r="G998" s="8"/>
      <c r="H998" s="9"/>
      <c r="I998" s="9"/>
      <c r="J998" s="9"/>
      <c r="K998" s="9"/>
      <c r="L998" s="9"/>
      <c r="M998" s="9"/>
      <c r="N998" s="9"/>
      <c r="O998" s="9"/>
      <c r="P998" s="9"/>
    </row>
    <row r="999" ht="30.0" customHeight="1">
      <c r="A999" s="5"/>
      <c r="B999" s="5"/>
      <c r="C999" s="6"/>
      <c r="D999" s="18"/>
      <c r="E999" s="8"/>
      <c r="F999" s="8"/>
      <c r="G999" s="8"/>
      <c r="H999" s="9"/>
      <c r="I999" s="9"/>
      <c r="J999" s="9"/>
      <c r="K999" s="9"/>
      <c r="L999" s="9"/>
      <c r="M999" s="9"/>
      <c r="N999" s="9"/>
      <c r="O999" s="9"/>
      <c r="P999" s="9"/>
    </row>
    <row r="1000" ht="30.0" customHeight="1">
      <c r="A1000" s="5"/>
      <c r="B1000" s="5"/>
      <c r="C1000" s="6"/>
      <c r="D1000" s="18"/>
      <c r="E1000" s="8"/>
      <c r="F1000" s="8"/>
      <c r="G1000" s="8"/>
      <c r="H1000" s="9"/>
      <c r="I1000" s="9"/>
      <c r="J1000" s="9"/>
      <c r="K1000" s="9"/>
      <c r="L1000" s="9"/>
      <c r="M1000" s="9"/>
      <c r="N1000" s="9"/>
      <c r="O1000" s="9"/>
      <c r="P1000" s="9"/>
    </row>
    <row r="1001" ht="30.0" customHeight="1">
      <c r="A1001" s="5"/>
      <c r="B1001" s="5"/>
      <c r="C1001" s="6"/>
      <c r="D1001" s="18"/>
      <c r="E1001" s="8"/>
      <c r="F1001" s="8"/>
      <c r="G1001" s="8"/>
      <c r="H1001" s="9"/>
      <c r="I1001" s="9"/>
      <c r="J1001" s="9"/>
      <c r="K1001" s="9"/>
      <c r="L1001" s="9"/>
      <c r="M1001" s="9"/>
      <c r="N1001" s="9"/>
      <c r="O1001" s="9"/>
      <c r="P1001" s="9"/>
    </row>
    <row r="1002" ht="30.0" customHeight="1">
      <c r="A1002" s="5"/>
      <c r="B1002" s="5"/>
      <c r="C1002" s="6"/>
      <c r="D1002" s="18"/>
      <c r="E1002" s="8"/>
      <c r="F1002" s="8"/>
      <c r="G1002" s="8"/>
      <c r="H1002" s="9"/>
      <c r="I1002" s="9"/>
      <c r="J1002" s="9"/>
      <c r="K1002" s="9"/>
      <c r="L1002" s="9"/>
      <c r="M1002" s="9"/>
      <c r="N1002" s="9"/>
      <c r="O1002" s="9"/>
      <c r="P1002" s="9"/>
    </row>
    <row r="1003" ht="30.0" customHeight="1">
      <c r="A1003" s="5"/>
      <c r="B1003" s="5"/>
      <c r="C1003" s="6"/>
      <c r="D1003" s="18"/>
      <c r="E1003" s="8"/>
      <c r="F1003" s="8"/>
      <c r="G1003" s="8"/>
      <c r="H1003" s="9"/>
      <c r="I1003" s="9"/>
      <c r="J1003" s="9"/>
      <c r="K1003" s="9"/>
      <c r="L1003" s="9"/>
      <c r="M1003" s="9"/>
      <c r="N1003" s="9"/>
      <c r="O1003" s="9"/>
      <c r="P1003" s="9"/>
    </row>
    <row r="1004" ht="30.0" customHeight="1">
      <c r="A1004" s="5"/>
      <c r="B1004" s="5"/>
      <c r="C1004" s="6"/>
      <c r="D1004" s="18"/>
      <c r="E1004" s="8"/>
      <c r="F1004" s="8"/>
      <c r="G1004" s="8"/>
      <c r="H1004" s="9"/>
      <c r="I1004" s="9"/>
      <c r="J1004" s="9"/>
      <c r="K1004" s="9"/>
      <c r="L1004" s="9"/>
      <c r="M1004" s="9"/>
      <c r="N1004" s="9"/>
      <c r="O1004" s="9"/>
      <c r="P1004" s="9"/>
    </row>
    <row r="1005" ht="30.0" customHeight="1">
      <c r="A1005" s="5"/>
      <c r="B1005" s="5"/>
      <c r="C1005" s="6"/>
      <c r="D1005" s="18"/>
      <c r="E1005" s="8"/>
      <c r="F1005" s="8"/>
      <c r="G1005" s="8"/>
      <c r="H1005" s="9"/>
      <c r="I1005" s="9"/>
      <c r="J1005" s="9"/>
      <c r="K1005" s="9"/>
      <c r="L1005" s="9"/>
      <c r="M1005" s="9"/>
      <c r="N1005" s="9"/>
      <c r="O1005" s="9"/>
      <c r="P1005" s="9"/>
    </row>
    <row r="1006" ht="30.0" customHeight="1">
      <c r="A1006" s="5"/>
      <c r="B1006" s="5"/>
      <c r="C1006" s="6"/>
      <c r="D1006" s="18"/>
      <c r="E1006" s="8"/>
      <c r="F1006" s="8"/>
      <c r="G1006" s="8"/>
      <c r="H1006" s="9"/>
      <c r="I1006" s="9"/>
      <c r="J1006" s="9"/>
      <c r="K1006" s="9"/>
      <c r="L1006" s="9"/>
      <c r="M1006" s="9"/>
      <c r="N1006" s="9"/>
      <c r="O1006" s="9"/>
      <c r="P1006" s="9"/>
    </row>
    <row r="1007" ht="30.0" customHeight="1">
      <c r="A1007" s="5"/>
      <c r="B1007" s="5"/>
      <c r="C1007" s="6"/>
      <c r="D1007" s="18"/>
      <c r="E1007" s="8"/>
      <c r="F1007" s="8"/>
      <c r="G1007" s="8"/>
      <c r="H1007" s="9"/>
      <c r="I1007" s="9"/>
      <c r="J1007" s="9"/>
      <c r="K1007" s="9"/>
      <c r="L1007" s="9"/>
      <c r="M1007" s="9"/>
      <c r="N1007" s="9"/>
      <c r="O1007" s="9"/>
      <c r="P1007" s="9"/>
    </row>
    <row r="1008" ht="30.0" customHeight="1">
      <c r="A1008" s="5"/>
      <c r="B1008" s="5"/>
      <c r="C1008" s="6"/>
      <c r="D1008" s="18"/>
      <c r="E1008" s="8"/>
      <c r="F1008" s="8"/>
      <c r="G1008" s="8"/>
      <c r="H1008" s="9"/>
      <c r="I1008" s="9"/>
      <c r="J1008" s="9"/>
      <c r="K1008" s="9"/>
      <c r="L1008" s="9"/>
      <c r="M1008" s="9"/>
      <c r="N1008" s="9"/>
      <c r="O1008" s="9"/>
      <c r="P1008" s="9"/>
    </row>
    <row r="1009" ht="30.0" customHeight="1">
      <c r="A1009" s="5"/>
      <c r="B1009" s="5"/>
      <c r="C1009" s="6"/>
      <c r="D1009" s="18"/>
      <c r="E1009" s="8"/>
      <c r="F1009" s="8"/>
      <c r="G1009" s="8"/>
      <c r="H1009" s="9"/>
      <c r="I1009" s="9"/>
      <c r="J1009" s="9"/>
      <c r="K1009" s="9"/>
      <c r="L1009" s="9"/>
      <c r="M1009" s="9"/>
      <c r="N1009" s="9"/>
      <c r="O1009" s="9"/>
      <c r="P1009" s="9"/>
    </row>
    <row r="1010" ht="30.0" customHeight="1">
      <c r="A1010" s="5"/>
      <c r="B1010" s="5"/>
      <c r="C1010" s="6"/>
      <c r="D1010" s="18"/>
      <c r="E1010" s="8"/>
      <c r="F1010" s="8"/>
      <c r="G1010" s="8"/>
      <c r="H1010" s="9"/>
      <c r="I1010" s="9"/>
      <c r="J1010" s="9"/>
      <c r="K1010" s="9"/>
      <c r="L1010" s="9"/>
      <c r="M1010" s="9"/>
      <c r="N1010" s="9"/>
      <c r="O1010" s="9"/>
      <c r="P1010" s="9"/>
    </row>
    <row r="1011" ht="30.0" customHeight="1">
      <c r="A1011" s="5"/>
      <c r="B1011" s="5"/>
      <c r="C1011" s="6"/>
      <c r="D1011" s="18"/>
      <c r="E1011" s="8"/>
      <c r="F1011" s="8"/>
      <c r="G1011" s="8"/>
      <c r="H1011" s="9"/>
      <c r="I1011" s="9"/>
      <c r="J1011" s="9"/>
      <c r="K1011" s="9"/>
      <c r="L1011" s="9"/>
      <c r="M1011" s="9"/>
      <c r="N1011" s="9"/>
      <c r="O1011" s="9"/>
      <c r="P1011" s="9"/>
    </row>
    <row r="1012" ht="30.0" customHeight="1">
      <c r="A1012" s="5"/>
      <c r="B1012" s="5"/>
      <c r="C1012" s="6"/>
      <c r="D1012" s="18"/>
      <c r="E1012" s="8"/>
      <c r="F1012" s="8"/>
      <c r="G1012" s="8"/>
      <c r="H1012" s="9"/>
      <c r="I1012" s="9"/>
      <c r="J1012" s="9"/>
      <c r="K1012" s="9"/>
      <c r="L1012" s="9"/>
      <c r="M1012" s="9"/>
      <c r="N1012" s="9"/>
      <c r="O1012" s="9"/>
      <c r="P1012" s="9"/>
    </row>
    <row r="1013" ht="30.0" customHeight="1">
      <c r="A1013" s="5"/>
      <c r="B1013" s="5"/>
      <c r="C1013" s="6"/>
      <c r="D1013" s="18"/>
      <c r="E1013" s="8"/>
      <c r="F1013" s="8"/>
      <c r="G1013" s="8"/>
      <c r="H1013" s="9"/>
      <c r="I1013" s="9"/>
      <c r="J1013" s="9"/>
      <c r="K1013" s="9"/>
      <c r="L1013" s="9"/>
      <c r="M1013" s="9"/>
      <c r="N1013" s="9"/>
      <c r="O1013" s="9"/>
      <c r="P1013" s="9"/>
    </row>
    <row r="1014" ht="30.0" customHeight="1">
      <c r="A1014" s="5"/>
      <c r="B1014" s="5"/>
      <c r="C1014" s="6"/>
      <c r="D1014" s="18"/>
      <c r="E1014" s="8"/>
      <c r="F1014" s="8"/>
      <c r="G1014" s="8"/>
      <c r="H1014" s="9"/>
      <c r="I1014" s="9"/>
      <c r="J1014" s="9"/>
      <c r="K1014" s="9"/>
      <c r="L1014" s="9"/>
      <c r="M1014" s="9"/>
      <c r="N1014" s="9"/>
      <c r="O1014" s="9"/>
      <c r="P1014" s="9"/>
    </row>
    <row r="1015" ht="30.0" customHeight="1">
      <c r="A1015" s="5"/>
      <c r="B1015" s="5"/>
      <c r="C1015" s="6"/>
      <c r="D1015" s="18"/>
      <c r="E1015" s="8"/>
      <c r="F1015" s="8"/>
      <c r="G1015" s="8"/>
      <c r="H1015" s="9"/>
      <c r="I1015" s="9"/>
      <c r="J1015" s="9"/>
      <c r="K1015" s="9"/>
      <c r="L1015" s="9"/>
      <c r="M1015" s="9"/>
      <c r="N1015" s="9"/>
      <c r="O1015" s="9"/>
      <c r="P1015" s="9"/>
    </row>
    <row r="1016" ht="30.0" customHeight="1">
      <c r="A1016" s="5"/>
      <c r="B1016" s="5"/>
      <c r="C1016" s="6"/>
      <c r="D1016" s="18"/>
      <c r="E1016" s="8"/>
      <c r="F1016" s="8"/>
      <c r="G1016" s="8"/>
      <c r="H1016" s="9"/>
      <c r="I1016" s="9"/>
      <c r="J1016" s="9"/>
      <c r="K1016" s="9"/>
      <c r="L1016" s="9"/>
      <c r="M1016" s="9"/>
      <c r="N1016" s="9"/>
      <c r="O1016" s="9"/>
      <c r="P1016" s="9"/>
    </row>
    <row r="1017" ht="30.0" customHeight="1">
      <c r="A1017" s="5"/>
      <c r="B1017" s="5"/>
      <c r="C1017" s="6"/>
      <c r="D1017" s="18"/>
      <c r="E1017" s="8"/>
      <c r="F1017" s="8"/>
      <c r="G1017" s="8"/>
      <c r="H1017" s="9"/>
      <c r="I1017" s="9"/>
      <c r="J1017" s="9"/>
      <c r="K1017" s="9"/>
      <c r="L1017" s="9"/>
      <c r="M1017" s="9"/>
      <c r="N1017" s="9"/>
      <c r="O1017" s="9"/>
      <c r="P1017" s="9"/>
    </row>
    <row r="1018" ht="30.0" customHeight="1">
      <c r="A1018" s="5"/>
      <c r="B1018" s="5"/>
      <c r="C1018" s="6"/>
      <c r="D1018" s="18"/>
      <c r="E1018" s="8"/>
      <c r="F1018" s="8"/>
      <c r="G1018" s="8"/>
      <c r="H1018" s="9"/>
      <c r="I1018" s="9"/>
      <c r="J1018" s="9"/>
      <c r="K1018" s="9"/>
      <c r="L1018" s="9"/>
      <c r="M1018" s="9"/>
      <c r="N1018" s="9"/>
      <c r="O1018" s="9"/>
      <c r="P1018" s="9"/>
    </row>
    <row r="1019" ht="30.0" customHeight="1">
      <c r="A1019" s="5"/>
      <c r="B1019" s="5"/>
      <c r="C1019" s="6"/>
      <c r="D1019" s="18"/>
      <c r="E1019" s="8"/>
      <c r="F1019" s="8"/>
      <c r="G1019" s="8"/>
      <c r="H1019" s="9"/>
      <c r="I1019" s="9"/>
      <c r="J1019" s="9"/>
      <c r="K1019" s="9"/>
      <c r="L1019" s="9"/>
      <c r="M1019" s="9"/>
      <c r="N1019" s="9"/>
      <c r="O1019" s="9"/>
      <c r="P1019" s="9"/>
    </row>
    <row r="1020" ht="30.0" customHeight="1">
      <c r="A1020" s="5"/>
      <c r="B1020" s="5"/>
      <c r="C1020" s="6"/>
      <c r="D1020" s="18"/>
      <c r="E1020" s="8"/>
      <c r="F1020" s="8"/>
      <c r="G1020" s="8"/>
      <c r="H1020" s="9"/>
      <c r="I1020" s="9"/>
      <c r="J1020" s="9"/>
      <c r="K1020" s="9"/>
      <c r="L1020" s="9"/>
      <c r="M1020" s="9"/>
      <c r="N1020" s="9"/>
      <c r="O1020" s="9"/>
      <c r="P1020" s="9"/>
    </row>
    <row r="1021" ht="30.0" customHeight="1">
      <c r="A1021" s="5"/>
      <c r="B1021" s="5"/>
      <c r="C1021" s="6"/>
      <c r="D1021" s="18"/>
      <c r="E1021" s="8"/>
      <c r="F1021" s="8"/>
      <c r="G1021" s="8"/>
      <c r="H1021" s="9"/>
      <c r="I1021" s="9"/>
      <c r="J1021" s="9"/>
      <c r="K1021" s="9"/>
      <c r="L1021" s="9"/>
      <c r="M1021" s="9"/>
      <c r="N1021" s="9"/>
      <c r="O1021" s="9"/>
      <c r="P1021" s="9"/>
    </row>
    <row r="1022" ht="30.0" customHeight="1">
      <c r="A1022" s="5"/>
      <c r="B1022" s="5"/>
      <c r="C1022" s="6"/>
      <c r="D1022" s="18"/>
      <c r="E1022" s="8"/>
      <c r="F1022" s="8"/>
      <c r="G1022" s="8"/>
      <c r="H1022" s="9"/>
      <c r="I1022" s="9"/>
      <c r="J1022" s="9"/>
      <c r="K1022" s="9"/>
      <c r="L1022" s="9"/>
      <c r="M1022" s="9"/>
      <c r="N1022" s="9"/>
      <c r="O1022" s="9"/>
      <c r="P1022" s="9"/>
    </row>
    <row r="1023" ht="30.0" customHeight="1">
      <c r="A1023" s="5"/>
      <c r="B1023" s="5"/>
      <c r="C1023" s="6"/>
      <c r="D1023" s="18"/>
      <c r="E1023" s="8"/>
      <c r="F1023" s="8"/>
      <c r="G1023" s="8"/>
      <c r="H1023" s="9"/>
      <c r="I1023" s="9"/>
      <c r="J1023" s="9"/>
      <c r="K1023" s="9"/>
      <c r="L1023" s="9"/>
      <c r="M1023" s="9"/>
      <c r="N1023" s="9"/>
      <c r="O1023" s="9"/>
      <c r="P1023" s="9"/>
    </row>
    <row r="1024" ht="30.0" customHeight="1">
      <c r="A1024" s="5"/>
      <c r="B1024" s="5"/>
      <c r="C1024" s="6"/>
      <c r="D1024" s="18"/>
      <c r="E1024" s="8"/>
      <c r="F1024" s="8"/>
      <c r="G1024" s="8"/>
      <c r="H1024" s="9"/>
      <c r="I1024" s="9"/>
      <c r="J1024" s="9"/>
      <c r="K1024" s="9"/>
      <c r="L1024" s="9"/>
      <c r="M1024" s="9"/>
      <c r="N1024" s="9"/>
      <c r="O1024" s="9"/>
      <c r="P1024" s="9"/>
    </row>
    <row r="1025" ht="30.0" customHeight="1">
      <c r="A1025" s="5"/>
      <c r="B1025" s="5"/>
      <c r="C1025" s="6"/>
      <c r="D1025" s="18"/>
      <c r="E1025" s="8"/>
      <c r="F1025" s="8"/>
      <c r="G1025" s="8"/>
      <c r="H1025" s="9"/>
      <c r="I1025" s="9"/>
      <c r="J1025" s="9"/>
      <c r="K1025" s="9"/>
      <c r="L1025" s="9"/>
      <c r="M1025" s="9"/>
      <c r="N1025" s="9"/>
      <c r="O1025" s="9"/>
      <c r="P1025" s="9"/>
    </row>
    <row r="1026" ht="30.0" customHeight="1">
      <c r="A1026" s="5"/>
      <c r="B1026" s="5"/>
      <c r="C1026" s="6"/>
      <c r="D1026" s="18"/>
      <c r="E1026" s="8"/>
      <c r="F1026" s="8"/>
      <c r="G1026" s="8"/>
      <c r="H1026" s="9"/>
      <c r="I1026" s="9"/>
      <c r="J1026" s="9"/>
      <c r="K1026" s="9"/>
      <c r="L1026" s="9"/>
      <c r="M1026" s="9"/>
      <c r="N1026" s="9"/>
      <c r="O1026" s="9"/>
      <c r="P1026" s="9"/>
    </row>
    <row r="1027" ht="30.0" customHeight="1">
      <c r="A1027" s="5"/>
      <c r="B1027" s="5"/>
      <c r="C1027" s="6"/>
      <c r="D1027" s="18"/>
      <c r="E1027" s="8"/>
      <c r="F1027" s="8"/>
      <c r="G1027" s="8"/>
      <c r="H1027" s="9"/>
      <c r="I1027" s="9"/>
      <c r="J1027" s="9"/>
      <c r="K1027" s="9"/>
      <c r="L1027" s="9"/>
      <c r="M1027" s="9"/>
      <c r="N1027" s="9"/>
      <c r="O1027" s="9"/>
      <c r="P1027" s="9"/>
    </row>
    <row r="1028" ht="30.0" customHeight="1">
      <c r="A1028" s="5"/>
      <c r="B1028" s="5"/>
      <c r="C1028" s="6"/>
      <c r="D1028" s="18"/>
      <c r="E1028" s="8"/>
      <c r="F1028" s="8"/>
      <c r="G1028" s="8"/>
      <c r="H1028" s="9"/>
      <c r="I1028" s="9"/>
      <c r="J1028" s="9"/>
      <c r="K1028" s="9"/>
      <c r="L1028" s="9"/>
      <c r="M1028" s="9"/>
      <c r="N1028" s="9"/>
      <c r="O1028" s="9"/>
      <c r="P1028" s="9"/>
    </row>
    <row r="1029" ht="30.0" customHeight="1">
      <c r="A1029" s="5"/>
      <c r="B1029" s="5"/>
      <c r="C1029" s="6"/>
      <c r="D1029" s="18"/>
      <c r="E1029" s="8"/>
      <c r="F1029" s="8"/>
      <c r="G1029" s="8"/>
      <c r="H1029" s="9"/>
      <c r="I1029" s="9"/>
      <c r="J1029" s="9"/>
      <c r="K1029" s="9"/>
      <c r="L1029" s="9"/>
      <c r="M1029" s="9"/>
      <c r="N1029" s="9"/>
      <c r="O1029" s="9"/>
      <c r="P1029" s="9"/>
    </row>
    <row r="1030" ht="30.0" customHeight="1">
      <c r="A1030" s="5"/>
      <c r="B1030" s="5"/>
      <c r="C1030" s="6"/>
      <c r="D1030" s="18"/>
      <c r="E1030" s="8"/>
      <c r="F1030" s="8"/>
      <c r="G1030" s="8"/>
      <c r="H1030" s="9"/>
      <c r="I1030" s="9"/>
      <c r="J1030" s="9"/>
      <c r="K1030" s="9"/>
      <c r="L1030" s="9"/>
      <c r="M1030" s="9"/>
      <c r="N1030" s="9"/>
      <c r="O1030" s="9"/>
      <c r="P1030" s="9"/>
    </row>
    <row r="1031" ht="30.0" customHeight="1">
      <c r="A1031" s="5"/>
      <c r="B1031" s="5"/>
      <c r="C1031" s="6"/>
      <c r="D1031" s="18"/>
      <c r="E1031" s="8"/>
      <c r="F1031" s="8"/>
      <c r="G1031" s="8"/>
      <c r="H1031" s="9"/>
      <c r="I1031" s="9"/>
      <c r="J1031" s="9"/>
      <c r="K1031" s="9"/>
      <c r="L1031" s="9"/>
      <c r="M1031" s="9"/>
      <c r="N1031" s="9"/>
      <c r="O1031" s="9"/>
      <c r="P1031" s="9"/>
    </row>
    <row r="1032" ht="30.0" customHeight="1">
      <c r="A1032" s="5"/>
      <c r="B1032" s="5"/>
      <c r="C1032" s="6"/>
      <c r="D1032" s="18"/>
      <c r="E1032" s="8"/>
      <c r="F1032" s="8"/>
      <c r="G1032" s="8"/>
      <c r="H1032" s="9"/>
      <c r="I1032" s="9"/>
      <c r="J1032" s="9"/>
      <c r="K1032" s="9"/>
      <c r="L1032" s="9"/>
      <c r="M1032" s="9"/>
      <c r="N1032" s="9"/>
      <c r="O1032" s="9"/>
      <c r="P1032" s="9"/>
    </row>
    <row r="1033" ht="30.0" customHeight="1">
      <c r="A1033" s="5"/>
      <c r="B1033" s="5"/>
      <c r="C1033" s="6"/>
      <c r="D1033" s="18"/>
      <c r="E1033" s="8"/>
      <c r="F1033" s="8"/>
      <c r="G1033" s="8"/>
      <c r="H1033" s="9"/>
      <c r="I1033" s="9"/>
      <c r="J1033" s="9"/>
      <c r="K1033" s="9"/>
      <c r="L1033" s="9"/>
      <c r="M1033" s="9"/>
      <c r="N1033" s="9"/>
      <c r="O1033" s="9"/>
      <c r="P1033" s="9"/>
    </row>
    <row r="1034" ht="30.0" customHeight="1">
      <c r="A1034" s="5"/>
      <c r="B1034" s="5"/>
      <c r="C1034" s="6"/>
      <c r="D1034" s="18"/>
      <c r="E1034" s="8"/>
      <c r="F1034" s="8"/>
      <c r="G1034" s="8"/>
      <c r="H1034" s="9"/>
      <c r="I1034" s="9"/>
      <c r="J1034" s="9"/>
      <c r="K1034" s="9"/>
      <c r="L1034" s="9"/>
      <c r="M1034" s="9"/>
      <c r="N1034" s="9"/>
      <c r="O1034" s="9"/>
      <c r="P1034" s="9"/>
    </row>
    <row r="1035" ht="30.0" customHeight="1">
      <c r="A1035" s="5"/>
      <c r="B1035" s="5"/>
      <c r="C1035" s="6"/>
      <c r="D1035" s="18"/>
      <c r="E1035" s="8"/>
      <c r="F1035" s="8"/>
      <c r="G1035" s="8"/>
      <c r="H1035" s="9"/>
      <c r="I1035" s="9"/>
      <c r="J1035" s="9"/>
      <c r="K1035" s="9"/>
      <c r="L1035" s="9"/>
      <c r="M1035" s="9"/>
      <c r="N1035" s="9"/>
      <c r="O1035" s="9"/>
      <c r="P1035" s="9"/>
    </row>
    <row r="1036" ht="30.0" customHeight="1">
      <c r="A1036" s="5"/>
      <c r="B1036" s="5"/>
      <c r="C1036" s="6"/>
      <c r="D1036" s="18"/>
      <c r="E1036" s="8"/>
      <c r="F1036" s="8"/>
      <c r="G1036" s="8"/>
      <c r="H1036" s="9"/>
      <c r="I1036" s="9"/>
      <c r="J1036" s="9"/>
      <c r="K1036" s="9"/>
      <c r="L1036" s="9"/>
      <c r="M1036" s="9"/>
      <c r="N1036" s="9"/>
      <c r="O1036" s="9"/>
      <c r="P1036" s="9"/>
    </row>
    <row r="1037" ht="30.0" customHeight="1">
      <c r="A1037" s="5"/>
      <c r="B1037" s="5"/>
      <c r="C1037" s="6"/>
      <c r="D1037" s="18"/>
      <c r="E1037" s="8"/>
      <c r="F1037" s="8"/>
      <c r="G1037" s="8"/>
      <c r="H1037" s="9"/>
      <c r="I1037" s="9"/>
      <c r="J1037" s="9"/>
      <c r="K1037" s="9"/>
      <c r="L1037" s="9"/>
      <c r="M1037" s="9"/>
      <c r="N1037" s="9"/>
      <c r="O1037" s="9"/>
      <c r="P1037" s="9"/>
    </row>
    <row r="1038" ht="30.0" customHeight="1">
      <c r="A1038" s="5"/>
      <c r="B1038" s="5"/>
      <c r="C1038" s="6"/>
      <c r="D1038" s="18"/>
      <c r="E1038" s="8"/>
      <c r="F1038" s="8"/>
      <c r="G1038" s="8"/>
      <c r="H1038" s="9"/>
      <c r="I1038" s="9"/>
      <c r="J1038" s="9"/>
      <c r="K1038" s="9"/>
      <c r="L1038" s="9"/>
      <c r="M1038" s="9"/>
      <c r="N1038" s="9"/>
      <c r="O1038" s="9"/>
      <c r="P1038" s="9"/>
    </row>
    <row r="1039" ht="30.0" customHeight="1">
      <c r="A1039" s="5"/>
      <c r="B1039" s="5"/>
      <c r="C1039" s="6"/>
      <c r="D1039" s="18"/>
      <c r="E1039" s="8"/>
      <c r="F1039" s="8"/>
      <c r="G1039" s="8"/>
      <c r="H1039" s="9"/>
      <c r="I1039" s="9"/>
      <c r="J1039" s="9"/>
      <c r="K1039" s="9"/>
      <c r="L1039" s="9"/>
      <c r="M1039" s="9"/>
      <c r="N1039" s="9"/>
      <c r="O1039" s="9"/>
      <c r="P1039" s="9"/>
    </row>
    <row r="1040" ht="30.0" customHeight="1">
      <c r="A1040" s="5"/>
      <c r="B1040" s="5"/>
      <c r="C1040" s="6"/>
      <c r="D1040" s="18"/>
      <c r="E1040" s="8"/>
      <c r="F1040" s="8"/>
      <c r="G1040" s="8"/>
      <c r="H1040" s="9"/>
      <c r="I1040" s="9"/>
      <c r="J1040" s="9"/>
      <c r="K1040" s="9"/>
      <c r="L1040" s="9"/>
      <c r="M1040" s="9"/>
      <c r="N1040" s="9"/>
      <c r="O1040" s="9"/>
      <c r="P1040" s="9"/>
    </row>
    <row r="1041" ht="30.0" customHeight="1">
      <c r="A1041" s="5"/>
      <c r="B1041" s="5"/>
      <c r="C1041" s="6"/>
      <c r="D1041" s="18"/>
      <c r="E1041" s="8"/>
      <c r="F1041" s="8"/>
      <c r="G1041" s="8"/>
      <c r="H1041" s="9"/>
      <c r="I1041" s="9"/>
      <c r="J1041" s="9"/>
      <c r="K1041" s="9"/>
      <c r="L1041" s="9"/>
      <c r="M1041" s="9"/>
      <c r="N1041" s="9"/>
      <c r="O1041" s="9"/>
      <c r="P1041" s="9"/>
    </row>
    <row r="1042" ht="30.0" customHeight="1">
      <c r="A1042" s="5"/>
      <c r="B1042" s="5"/>
      <c r="C1042" s="6"/>
      <c r="D1042" s="18"/>
      <c r="E1042" s="8"/>
      <c r="F1042" s="8"/>
      <c r="G1042" s="8"/>
      <c r="H1042" s="9"/>
      <c r="I1042" s="9"/>
      <c r="J1042" s="9"/>
      <c r="K1042" s="9"/>
      <c r="L1042" s="9"/>
      <c r="M1042" s="9"/>
      <c r="N1042" s="9"/>
      <c r="O1042" s="9"/>
      <c r="P1042" s="9"/>
    </row>
    <row r="1043" ht="30.0" customHeight="1">
      <c r="A1043" s="5"/>
      <c r="B1043" s="5"/>
      <c r="C1043" s="6"/>
      <c r="D1043" s="18"/>
      <c r="E1043" s="8"/>
      <c r="F1043" s="8"/>
      <c r="G1043" s="8"/>
      <c r="H1043" s="9"/>
      <c r="I1043" s="9"/>
      <c r="J1043" s="9"/>
      <c r="K1043" s="9"/>
      <c r="L1043" s="9"/>
      <c r="M1043" s="9"/>
      <c r="N1043" s="9"/>
      <c r="O1043" s="9"/>
      <c r="P1043" s="9"/>
    </row>
    <row r="1044" ht="30.0" customHeight="1">
      <c r="A1044" s="5"/>
      <c r="B1044" s="5"/>
      <c r="C1044" s="6"/>
      <c r="D1044" s="18"/>
      <c r="E1044" s="8"/>
      <c r="F1044" s="8"/>
      <c r="G1044" s="8"/>
      <c r="H1044" s="9"/>
      <c r="I1044" s="9"/>
      <c r="J1044" s="9"/>
      <c r="K1044" s="9"/>
      <c r="L1044" s="9"/>
      <c r="M1044" s="9"/>
      <c r="N1044" s="9"/>
      <c r="O1044" s="9"/>
      <c r="P1044" s="9"/>
    </row>
    <row r="1045" ht="30.0" customHeight="1">
      <c r="A1045" s="5"/>
      <c r="B1045" s="5"/>
      <c r="C1045" s="6"/>
      <c r="D1045" s="18"/>
      <c r="E1045" s="8"/>
      <c r="F1045" s="8"/>
      <c r="G1045" s="8"/>
      <c r="H1045" s="9"/>
      <c r="I1045" s="9"/>
      <c r="J1045" s="9"/>
      <c r="K1045" s="9"/>
      <c r="L1045" s="9"/>
      <c r="M1045" s="9"/>
      <c r="N1045" s="9"/>
      <c r="O1045" s="9"/>
      <c r="P1045" s="9"/>
    </row>
    <row r="1046" ht="30.0" customHeight="1">
      <c r="A1046" s="5"/>
      <c r="B1046" s="5"/>
      <c r="C1046" s="6"/>
      <c r="D1046" s="18"/>
      <c r="E1046" s="8"/>
      <c r="F1046" s="8"/>
      <c r="G1046" s="8"/>
      <c r="H1046" s="9"/>
      <c r="I1046" s="9"/>
      <c r="J1046" s="9"/>
      <c r="K1046" s="9"/>
      <c r="L1046" s="9"/>
      <c r="M1046" s="9"/>
      <c r="N1046" s="9"/>
      <c r="O1046" s="9"/>
      <c r="P1046" s="9"/>
    </row>
    <row r="1047" ht="30.0" customHeight="1">
      <c r="A1047" s="5"/>
      <c r="B1047" s="5"/>
      <c r="C1047" s="6"/>
      <c r="D1047" s="18"/>
      <c r="E1047" s="8"/>
      <c r="F1047" s="8"/>
      <c r="G1047" s="8"/>
      <c r="H1047" s="9"/>
      <c r="I1047" s="9"/>
      <c r="J1047" s="9"/>
      <c r="K1047" s="9"/>
      <c r="L1047" s="9"/>
      <c r="M1047" s="9"/>
      <c r="N1047" s="9"/>
      <c r="O1047" s="9"/>
      <c r="P1047" s="9"/>
    </row>
    <row r="1048" ht="30.0" customHeight="1">
      <c r="A1048" s="5"/>
      <c r="B1048" s="5"/>
      <c r="C1048" s="6"/>
      <c r="D1048" s="18"/>
      <c r="E1048" s="8"/>
      <c r="F1048" s="8"/>
      <c r="G1048" s="8"/>
      <c r="H1048" s="9"/>
      <c r="I1048" s="9"/>
      <c r="J1048" s="9"/>
      <c r="K1048" s="9"/>
      <c r="L1048" s="9"/>
      <c r="M1048" s="9"/>
      <c r="N1048" s="9"/>
      <c r="O1048" s="9"/>
      <c r="P1048" s="9"/>
    </row>
    <row r="1049" ht="30.0" customHeight="1">
      <c r="A1049" s="5"/>
      <c r="B1049" s="5"/>
      <c r="C1049" s="6"/>
      <c r="D1049" s="18"/>
      <c r="E1049" s="8"/>
      <c r="F1049" s="8"/>
      <c r="G1049" s="8"/>
      <c r="H1049" s="9"/>
      <c r="I1049" s="9"/>
      <c r="J1049" s="9"/>
      <c r="K1049" s="9"/>
      <c r="L1049" s="9"/>
      <c r="M1049" s="9"/>
      <c r="N1049" s="9"/>
      <c r="O1049" s="9"/>
      <c r="P1049" s="9"/>
    </row>
    <row r="1050" ht="30.0" customHeight="1">
      <c r="A1050" s="5"/>
      <c r="B1050" s="5"/>
      <c r="C1050" s="6"/>
      <c r="D1050" s="18"/>
      <c r="E1050" s="8"/>
      <c r="F1050" s="8"/>
      <c r="G1050" s="8"/>
      <c r="H1050" s="9"/>
      <c r="I1050" s="9"/>
      <c r="J1050" s="9"/>
      <c r="K1050" s="9"/>
      <c r="L1050" s="9"/>
      <c r="M1050" s="9"/>
      <c r="N1050" s="9"/>
      <c r="O1050" s="9"/>
      <c r="P1050" s="9"/>
    </row>
    <row r="1051" ht="30.0" customHeight="1">
      <c r="A1051" s="5"/>
      <c r="B1051" s="5"/>
      <c r="C1051" s="6"/>
      <c r="D1051" s="18"/>
      <c r="E1051" s="8"/>
      <c r="F1051" s="8"/>
      <c r="G1051" s="8"/>
      <c r="H1051" s="9"/>
      <c r="I1051" s="9"/>
      <c r="J1051" s="9"/>
      <c r="K1051" s="9"/>
      <c r="L1051" s="9"/>
      <c r="M1051" s="9"/>
      <c r="N1051" s="9"/>
      <c r="O1051" s="9"/>
      <c r="P1051" s="9"/>
    </row>
    <row r="1052" ht="30.0" customHeight="1">
      <c r="A1052" s="5"/>
      <c r="B1052" s="5"/>
      <c r="C1052" s="6"/>
      <c r="D1052" s="18"/>
      <c r="E1052" s="8"/>
      <c r="F1052" s="8"/>
      <c r="G1052" s="8"/>
      <c r="H1052" s="9"/>
      <c r="I1052" s="9"/>
      <c r="J1052" s="9"/>
      <c r="K1052" s="9"/>
      <c r="L1052" s="9"/>
      <c r="M1052" s="9"/>
      <c r="N1052" s="9"/>
      <c r="O1052" s="9"/>
      <c r="P1052" s="9"/>
    </row>
    <row r="1053" ht="30.0" customHeight="1">
      <c r="A1053" s="5"/>
      <c r="B1053" s="5"/>
      <c r="C1053" s="6"/>
      <c r="D1053" s="18"/>
      <c r="E1053" s="8"/>
      <c r="F1053" s="8"/>
      <c r="G1053" s="8"/>
      <c r="H1053" s="9"/>
      <c r="I1053" s="9"/>
      <c r="J1053" s="9"/>
      <c r="K1053" s="9"/>
      <c r="L1053" s="9"/>
      <c r="M1053" s="9"/>
      <c r="N1053" s="9"/>
      <c r="O1053" s="9"/>
      <c r="P1053" s="9"/>
    </row>
    <row r="1054" ht="30.0" customHeight="1">
      <c r="A1054" s="5"/>
      <c r="B1054" s="5"/>
      <c r="C1054" s="6"/>
      <c r="D1054" s="18"/>
      <c r="E1054" s="8"/>
      <c r="F1054" s="8"/>
      <c r="G1054" s="8"/>
      <c r="H1054" s="9"/>
      <c r="I1054" s="9"/>
      <c r="J1054" s="9"/>
      <c r="K1054" s="9"/>
      <c r="L1054" s="9"/>
      <c r="M1054" s="9"/>
      <c r="N1054" s="9"/>
      <c r="O1054" s="9"/>
      <c r="P1054" s="9"/>
    </row>
    <row r="1055" ht="30.0" customHeight="1">
      <c r="A1055" s="5"/>
      <c r="B1055" s="5"/>
      <c r="C1055" s="6"/>
      <c r="D1055" s="18"/>
      <c r="E1055" s="8"/>
      <c r="F1055" s="8"/>
      <c r="G1055" s="8"/>
      <c r="H1055" s="9"/>
      <c r="I1055" s="9"/>
      <c r="J1055" s="9"/>
      <c r="K1055" s="9"/>
      <c r="L1055" s="9"/>
      <c r="M1055" s="9"/>
      <c r="N1055" s="9"/>
      <c r="O1055" s="9"/>
      <c r="P1055" s="9"/>
    </row>
    <row r="1056" ht="30.0" customHeight="1">
      <c r="A1056" s="5"/>
      <c r="B1056" s="5"/>
      <c r="C1056" s="6"/>
      <c r="D1056" s="18"/>
      <c r="E1056" s="8"/>
      <c r="F1056" s="8"/>
      <c r="G1056" s="8"/>
      <c r="H1056" s="9"/>
      <c r="I1056" s="9"/>
      <c r="J1056" s="9"/>
      <c r="K1056" s="9"/>
      <c r="L1056" s="9"/>
      <c r="M1056" s="9"/>
      <c r="N1056" s="9"/>
      <c r="O1056" s="9"/>
      <c r="P1056" s="9"/>
    </row>
    <row r="1057" ht="30.0" customHeight="1">
      <c r="A1057" s="5"/>
      <c r="B1057" s="5"/>
      <c r="C1057" s="6"/>
      <c r="D1057" s="18"/>
      <c r="E1057" s="8"/>
      <c r="F1057" s="8"/>
      <c r="G1057" s="8"/>
      <c r="H1057" s="9"/>
      <c r="I1057" s="9"/>
      <c r="J1057" s="9"/>
      <c r="K1057" s="9"/>
      <c r="L1057" s="9"/>
      <c r="M1057" s="9"/>
      <c r="N1057" s="9"/>
      <c r="O1057" s="9"/>
      <c r="P1057" s="9"/>
    </row>
    <row r="1058" ht="30.0" customHeight="1">
      <c r="A1058" s="5"/>
      <c r="B1058" s="5"/>
      <c r="C1058" s="6"/>
      <c r="D1058" s="18"/>
      <c r="E1058" s="8"/>
      <c r="F1058" s="8"/>
      <c r="G1058" s="8"/>
      <c r="H1058" s="9"/>
      <c r="I1058" s="9"/>
      <c r="J1058" s="9"/>
      <c r="K1058" s="9"/>
      <c r="L1058" s="9"/>
      <c r="M1058" s="9"/>
      <c r="N1058" s="9"/>
      <c r="O1058" s="9"/>
      <c r="P1058" s="9"/>
    </row>
    <row r="1059" ht="30.0" customHeight="1">
      <c r="A1059" s="5"/>
      <c r="B1059" s="5"/>
      <c r="C1059" s="6"/>
      <c r="D1059" s="18"/>
      <c r="E1059" s="8"/>
      <c r="F1059" s="8"/>
      <c r="G1059" s="8"/>
      <c r="H1059" s="9"/>
      <c r="I1059" s="9"/>
      <c r="J1059" s="9"/>
      <c r="K1059" s="9"/>
      <c r="L1059" s="9"/>
      <c r="M1059" s="9"/>
      <c r="N1059" s="9"/>
      <c r="O1059" s="9"/>
      <c r="P1059" s="9"/>
    </row>
    <row r="1060" ht="30.0" customHeight="1">
      <c r="A1060" s="5"/>
      <c r="B1060" s="5"/>
      <c r="C1060" s="6"/>
      <c r="D1060" s="18"/>
      <c r="E1060" s="8"/>
      <c r="F1060" s="8"/>
      <c r="G1060" s="8"/>
      <c r="H1060" s="9"/>
      <c r="I1060" s="9"/>
      <c r="J1060" s="9"/>
      <c r="K1060" s="9"/>
      <c r="L1060" s="9"/>
      <c r="M1060" s="9"/>
      <c r="N1060" s="9"/>
      <c r="O1060" s="9"/>
      <c r="P1060" s="9"/>
    </row>
    <row r="1061" ht="30.0" customHeight="1">
      <c r="A1061" s="5"/>
      <c r="B1061" s="5"/>
      <c r="C1061" s="6"/>
      <c r="D1061" s="18"/>
      <c r="E1061" s="8"/>
      <c r="F1061" s="8"/>
      <c r="G1061" s="8"/>
      <c r="H1061" s="9"/>
      <c r="I1061" s="9"/>
      <c r="J1061" s="9"/>
      <c r="K1061" s="9"/>
      <c r="L1061" s="9"/>
      <c r="M1061" s="9"/>
      <c r="N1061" s="9"/>
      <c r="O1061" s="9"/>
      <c r="P1061" s="9"/>
    </row>
    <row r="1062" ht="30.0" customHeight="1">
      <c r="A1062" s="5"/>
      <c r="B1062" s="5"/>
      <c r="C1062" s="6"/>
      <c r="D1062" s="18"/>
      <c r="E1062" s="8"/>
      <c r="F1062" s="8"/>
      <c r="G1062" s="8"/>
      <c r="H1062" s="9"/>
      <c r="I1062" s="9"/>
      <c r="J1062" s="9"/>
      <c r="K1062" s="9"/>
      <c r="L1062" s="9"/>
      <c r="M1062" s="9"/>
      <c r="N1062" s="9"/>
      <c r="O1062" s="9"/>
      <c r="P1062" s="9"/>
    </row>
    <row r="1063" ht="30.0" customHeight="1">
      <c r="A1063" s="5"/>
      <c r="B1063" s="5"/>
      <c r="C1063" s="6"/>
      <c r="D1063" s="18"/>
      <c r="E1063" s="8"/>
      <c r="F1063" s="8"/>
      <c r="G1063" s="8"/>
      <c r="H1063" s="9"/>
      <c r="I1063" s="9"/>
      <c r="J1063" s="9"/>
      <c r="K1063" s="9"/>
      <c r="L1063" s="9"/>
      <c r="M1063" s="9"/>
      <c r="N1063" s="9"/>
      <c r="O1063" s="9"/>
      <c r="P1063" s="9"/>
    </row>
    <row r="1064" ht="30.0" customHeight="1">
      <c r="A1064" s="5"/>
      <c r="B1064" s="5"/>
      <c r="C1064" s="6"/>
      <c r="D1064" s="18"/>
      <c r="E1064" s="8"/>
      <c r="F1064" s="8"/>
      <c r="G1064" s="8"/>
      <c r="H1064" s="9"/>
      <c r="I1064" s="9"/>
      <c r="J1064" s="9"/>
      <c r="K1064" s="9"/>
      <c r="L1064" s="9"/>
      <c r="M1064" s="9"/>
      <c r="N1064" s="9"/>
      <c r="O1064" s="9"/>
      <c r="P1064" s="9"/>
    </row>
    <row r="1065" ht="30.0" customHeight="1">
      <c r="A1065" s="5"/>
      <c r="B1065" s="5"/>
      <c r="C1065" s="6"/>
      <c r="D1065" s="18"/>
      <c r="E1065" s="8"/>
      <c r="F1065" s="8"/>
      <c r="G1065" s="8"/>
      <c r="H1065" s="9"/>
      <c r="I1065" s="9"/>
      <c r="J1065" s="9"/>
      <c r="K1065" s="9"/>
      <c r="L1065" s="9"/>
      <c r="M1065" s="9"/>
      <c r="N1065" s="9"/>
      <c r="O1065" s="9"/>
      <c r="P1065" s="9"/>
    </row>
    <row r="1066" ht="30.0" customHeight="1">
      <c r="A1066" s="5"/>
      <c r="B1066" s="5"/>
      <c r="C1066" s="6"/>
      <c r="D1066" s="18"/>
      <c r="E1066" s="8"/>
      <c r="F1066" s="8"/>
      <c r="G1066" s="8"/>
      <c r="H1066" s="9"/>
      <c r="I1066" s="9"/>
      <c r="J1066" s="9"/>
      <c r="K1066" s="9"/>
      <c r="L1066" s="9"/>
      <c r="M1066" s="9"/>
      <c r="N1066" s="9"/>
      <c r="O1066" s="9"/>
      <c r="P1066" s="9"/>
    </row>
    <row r="1067" ht="30.0" customHeight="1">
      <c r="A1067" s="5"/>
      <c r="B1067" s="5"/>
      <c r="C1067" s="6"/>
      <c r="D1067" s="18"/>
      <c r="E1067" s="8"/>
      <c r="F1067" s="8"/>
      <c r="G1067" s="8"/>
      <c r="H1067" s="9"/>
      <c r="I1067" s="9"/>
      <c r="J1067" s="9"/>
      <c r="K1067" s="9"/>
      <c r="L1067" s="9"/>
      <c r="M1067" s="9"/>
      <c r="N1067" s="9"/>
      <c r="O1067" s="9"/>
      <c r="P1067" s="9"/>
    </row>
    <row r="1068" ht="30.0" customHeight="1">
      <c r="A1068" s="5"/>
      <c r="B1068" s="5"/>
      <c r="C1068" s="6"/>
      <c r="D1068" s="18"/>
      <c r="E1068" s="8"/>
      <c r="F1068" s="8"/>
      <c r="G1068" s="8"/>
      <c r="H1068" s="9"/>
      <c r="I1068" s="9"/>
      <c r="J1068" s="9"/>
      <c r="K1068" s="9"/>
      <c r="L1068" s="9"/>
      <c r="M1068" s="9"/>
      <c r="N1068" s="9"/>
      <c r="O1068" s="9"/>
      <c r="P1068" s="9"/>
    </row>
    <row r="1069" ht="30.0" customHeight="1">
      <c r="A1069" s="5"/>
      <c r="B1069" s="5"/>
      <c r="C1069" s="6"/>
      <c r="D1069" s="18"/>
      <c r="E1069" s="8"/>
      <c r="F1069" s="8"/>
      <c r="G1069" s="8"/>
      <c r="H1069" s="9"/>
      <c r="I1069" s="9"/>
      <c r="J1069" s="9"/>
      <c r="K1069" s="9"/>
      <c r="L1069" s="9"/>
      <c r="M1069" s="9"/>
      <c r="N1069" s="9"/>
      <c r="O1069" s="9"/>
      <c r="P1069" s="9"/>
    </row>
    <row r="1070" ht="30.0" customHeight="1">
      <c r="A1070" s="5"/>
      <c r="B1070" s="5"/>
      <c r="C1070" s="6"/>
      <c r="D1070" s="18"/>
      <c r="E1070" s="8"/>
      <c r="F1070" s="8"/>
      <c r="G1070" s="8"/>
      <c r="H1070" s="9"/>
      <c r="I1070" s="9"/>
      <c r="J1070" s="9"/>
      <c r="K1070" s="9"/>
      <c r="L1070" s="9"/>
      <c r="M1070" s="9"/>
      <c r="N1070" s="9"/>
      <c r="O1070" s="9"/>
      <c r="P1070" s="9"/>
    </row>
    <row r="1071" ht="30.0" customHeight="1">
      <c r="A1071" s="5"/>
      <c r="B1071" s="5"/>
      <c r="C1071" s="6"/>
      <c r="D1071" s="18"/>
      <c r="E1071" s="8"/>
      <c r="F1071" s="8"/>
      <c r="G1071" s="8"/>
      <c r="H1071" s="9"/>
      <c r="I1071" s="9"/>
      <c r="J1071" s="9"/>
      <c r="K1071" s="9"/>
      <c r="L1071" s="9"/>
      <c r="M1071" s="9"/>
      <c r="N1071" s="9"/>
      <c r="O1071" s="9"/>
      <c r="P1071" s="9"/>
    </row>
    <row r="1072" ht="30.0" customHeight="1">
      <c r="A1072" s="5"/>
      <c r="B1072" s="5"/>
      <c r="C1072" s="6"/>
      <c r="D1072" s="18"/>
      <c r="E1072" s="8"/>
      <c r="F1072" s="8"/>
      <c r="G1072" s="8"/>
      <c r="H1072" s="9"/>
      <c r="I1072" s="9"/>
      <c r="J1072" s="9"/>
      <c r="K1072" s="9"/>
      <c r="L1072" s="9"/>
      <c r="M1072" s="9"/>
      <c r="N1072" s="9"/>
      <c r="O1072" s="9"/>
      <c r="P1072" s="9"/>
    </row>
    <row r="1073" ht="30.0" customHeight="1">
      <c r="A1073" s="5"/>
      <c r="B1073" s="5"/>
      <c r="C1073" s="6"/>
      <c r="D1073" s="18"/>
      <c r="E1073" s="8"/>
      <c r="F1073" s="8"/>
      <c r="G1073" s="8"/>
      <c r="H1073" s="9"/>
      <c r="I1073" s="9"/>
      <c r="J1073" s="9"/>
      <c r="K1073" s="9"/>
      <c r="L1073" s="9"/>
      <c r="M1073" s="9"/>
      <c r="N1073" s="9"/>
      <c r="O1073" s="9"/>
      <c r="P1073" s="9"/>
    </row>
    <row r="1074" ht="30.0" customHeight="1">
      <c r="A1074" s="5"/>
      <c r="B1074" s="5"/>
      <c r="C1074" s="6"/>
      <c r="D1074" s="18"/>
      <c r="E1074" s="8"/>
      <c r="F1074" s="8"/>
      <c r="G1074" s="8"/>
      <c r="H1074" s="9"/>
      <c r="I1074" s="9"/>
      <c r="J1074" s="9"/>
      <c r="K1074" s="9"/>
      <c r="L1074" s="9"/>
      <c r="M1074" s="9"/>
      <c r="N1074" s="9"/>
      <c r="O1074" s="9"/>
      <c r="P1074" s="9"/>
    </row>
    <row r="1075" ht="30.0" customHeight="1">
      <c r="A1075" s="5"/>
      <c r="B1075" s="5"/>
      <c r="C1075" s="6"/>
      <c r="D1075" s="18"/>
      <c r="E1075" s="8"/>
      <c r="F1075" s="8"/>
      <c r="G1075" s="8"/>
      <c r="H1075" s="9"/>
      <c r="I1075" s="9"/>
      <c r="J1075" s="9"/>
      <c r="K1075" s="9"/>
      <c r="L1075" s="9"/>
      <c r="M1075" s="9"/>
      <c r="N1075" s="9"/>
      <c r="O1075" s="9"/>
      <c r="P1075" s="9"/>
    </row>
    <row r="1076" ht="30.0" customHeight="1">
      <c r="A1076" s="5"/>
      <c r="B1076" s="5"/>
      <c r="C1076" s="6"/>
      <c r="D1076" s="18"/>
      <c r="E1076" s="8"/>
      <c r="F1076" s="8"/>
      <c r="G1076" s="8"/>
      <c r="H1076" s="9"/>
      <c r="I1076" s="9"/>
      <c r="J1076" s="9"/>
      <c r="K1076" s="9"/>
      <c r="L1076" s="9"/>
      <c r="M1076" s="9"/>
      <c r="N1076" s="9"/>
      <c r="O1076" s="9"/>
      <c r="P1076" s="9"/>
    </row>
    <row r="1077" ht="30.0" customHeight="1">
      <c r="A1077" s="5"/>
      <c r="B1077" s="5"/>
      <c r="C1077" s="6"/>
      <c r="D1077" s="18"/>
      <c r="E1077" s="8"/>
      <c r="F1077" s="8"/>
      <c r="G1077" s="8"/>
      <c r="H1077" s="9"/>
      <c r="I1077" s="9"/>
      <c r="J1077" s="9"/>
      <c r="K1077" s="9"/>
      <c r="L1077" s="9"/>
      <c r="M1077" s="9"/>
      <c r="N1077" s="9"/>
      <c r="O1077" s="9"/>
      <c r="P1077" s="9"/>
    </row>
    <row r="1078" ht="30.0" customHeight="1">
      <c r="A1078" s="5"/>
      <c r="B1078" s="5"/>
      <c r="C1078" s="6"/>
      <c r="D1078" s="18"/>
      <c r="E1078" s="8"/>
      <c r="F1078" s="8"/>
      <c r="G1078" s="8"/>
      <c r="H1078" s="9"/>
      <c r="I1078" s="9"/>
      <c r="J1078" s="9"/>
      <c r="K1078" s="9"/>
      <c r="L1078" s="9"/>
      <c r="M1078" s="9"/>
      <c r="N1078" s="9"/>
      <c r="O1078" s="9"/>
      <c r="P1078" s="9"/>
    </row>
    <row r="1079" ht="30.0" customHeight="1">
      <c r="A1079" s="5"/>
      <c r="B1079" s="5"/>
      <c r="C1079" s="6"/>
      <c r="D1079" s="18"/>
      <c r="E1079" s="8"/>
      <c r="F1079" s="8"/>
      <c r="G1079" s="8"/>
      <c r="H1079" s="9"/>
      <c r="I1079" s="9"/>
      <c r="J1079" s="9"/>
      <c r="K1079" s="9"/>
      <c r="L1079" s="9"/>
      <c r="M1079" s="9"/>
      <c r="N1079" s="9"/>
      <c r="O1079" s="9"/>
      <c r="P1079" s="9"/>
    </row>
    <row r="1080" ht="30.0" customHeight="1">
      <c r="A1080" s="5"/>
      <c r="B1080" s="5"/>
      <c r="C1080" s="6"/>
      <c r="D1080" s="18"/>
      <c r="E1080" s="8"/>
      <c r="F1080" s="8"/>
      <c r="G1080" s="8"/>
      <c r="H1080" s="9"/>
      <c r="I1080" s="9"/>
      <c r="J1080" s="9"/>
      <c r="K1080" s="9"/>
      <c r="L1080" s="9"/>
      <c r="M1080" s="9"/>
      <c r="N1080" s="9"/>
      <c r="O1080" s="9"/>
      <c r="P1080" s="9"/>
    </row>
    <row r="1081" ht="30.0" customHeight="1">
      <c r="A1081" s="5"/>
      <c r="B1081" s="5"/>
      <c r="C1081" s="6"/>
      <c r="D1081" s="18"/>
      <c r="E1081" s="8"/>
      <c r="F1081" s="8"/>
      <c r="G1081" s="8"/>
      <c r="H1081" s="9"/>
      <c r="I1081" s="9"/>
      <c r="J1081" s="9"/>
      <c r="K1081" s="9"/>
      <c r="L1081" s="9"/>
      <c r="M1081" s="9"/>
      <c r="N1081" s="9"/>
      <c r="O1081" s="9"/>
      <c r="P1081" s="9"/>
    </row>
    <row r="1082" ht="30.0" customHeight="1">
      <c r="A1082" s="5"/>
      <c r="B1082" s="5"/>
      <c r="C1082" s="6"/>
      <c r="D1082" s="18"/>
      <c r="E1082" s="8"/>
      <c r="F1082" s="8"/>
      <c r="G1082" s="8"/>
      <c r="H1082" s="9"/>
      <c r="I1082" s="9"/>
      <c r="J1082" s="9"/>
      <c r="K1082" s="9"/>
      <c r="L1082" s="9"/>
      <c r="M1082" s="9"/>
      <c r="N1082" s="9"/>
      <c r="O1082" s="9"/>
      <c r="P1082" s="9"/>
    </row>
    <row r="1083" ht="30.0" customHeight="1">
      <c r="A1083" s="5"/>
      <c r="B1083" s="5"/>
      <c r="C1083" s="6"/>
      <c r="D1083" s="18"/>
      <c r="E1083" s="8"/>
      <c r="F1083" s="8"/>
      <c r="G1083" s="8"/>
      <c r="H1083" s="9"/>
      <c r="I1083" s="9"/>
      <c r="J1083" s="9"/>
      <c r="K1083" s="9"/>
      <c r="L1083" s="9"/>
      <c r="M1083" s="9"/>
      <c r="N1083" s="9"/>
      <c r="O1083" s="9"/>
      <c r="P1083" s="9"/>
    </row>
    <row r="1084" ht="30.0" customHeight="1">
      <c r="A1084" s="5"/>
      <c r="B1084" s="5"/>
      <c r="C1084" s="6"/>
      <c r="D1084" s="18"/>
      <c r="E1084" s="8"/>
      <c r="F1084" s="8"/>
      <c r="G1084" s="8"/>
      <c r="H1084" s="9"/>
      <c r="I1084" s="9"/>
      <c r="J1084" s="9"/>
      <c r="K1084" s="9"/>
      <c r="L1084" s="9"/>
      <c r="M1084" s="9"/>
      <c r="N1084" s="9"/>
      <c r="O1084" s="9"/>
      <c r="P1084" s="9"/>
    </row>
    <row r="1085" ht="30.0" customHeight="1">
      <c r="A1085" s="5"/>
      <c r="B1085" s="5"/>
      <c r="C1085" s="6"/>
      <c r="D1085" s="18"/>
      <c r="E1085" s="8"/>
      <c r="F1085" s="8"/>
      <c r="G1085" s="8"/>
      <c r="H1085" s="9"/>
      <c r="I1085" s="9"/>
      <c r="J1085" s="9"/>
      <c r="K1085" s="9"/>
      <c r="L1085" s="9"/>
      <c r="M1085" s="9"/>
      <c r="N1085" s="9"/>
      <c r="O1085" s="9"/>
      <c r="P1085" s="9"/>
    </row>
    <row r="1086" ht="30.0" customHeight="1">
      <c r="A1086" s="5"/>
      <c r="B1086" s="5"/>
      <c r="C1086" s="6"/>
      <c r="D1086" s="18"/>
      <c r="E1086" s="8"/>
      <c r="F1086" s="8"/>
      <c r="G1086" s="8"/>
      <c r="H1086" s="9"/>
      <c r="I1086" s="9"/>
      <c r="J1086" s="9"/>
      <c r="K1086" s="9"/>
      <c r="L1086" s="9"/>
      <c r="M1086" s="9"/>
      <c r="N1086" s="9"/>
      <c r="O1086" s="9"/>
      <c r="P1086" s="9"/>
    </row>
    <row r="1087" ht="30.0" customHeight="1">
      <c r="A1087" s="5"/>
      <c r="B1087" s="5"/>
      <c r="C1087" s="6"/>
      <c r="D1087" s="18"/>
      <c r="E1087" s="8"/>
      <c r="F1087" s="8"/>
      <c r="G1087" s="8"/>
      <c r="H1087" s="9"/>
      <c r="I1087" s="9"/>
      <c r="J1087" s="9"/>
      <c r="K1087" s="9"/>
      <c r="L1087" s="9"/>
      <c r="M1087" s="9"/>
      <c r="N1087" s="9"/>
      <c r="O1087" s="9"/>
      <c r="P1087" s="9"/>
    </row>
    <row r="1088" ht="30.0" customHeight="1">
      <c r="A1088" s="5"/>
      <c r="B1088" s="5"/>
      <c r="C1088" s="6"/>
      <c r="D1088" s="18"/>
      <c r="E1088" s="8"/>
      <c r="F1088" s="8"/>
      <c r="G1088" s="8"/>
      <c r="H1088" s="9"/>
      <c r="I1088" s="9"/>
      <c r="J1088" s="9"/>
      <c r="K1088" s="9"/>
      <c r="L1088" s="9"/>
      <c r="M1088" s="9"/>
      <c r="N1088" s="9"/>
      <c r="O1088" s="9"/>
      <c r="P1088" s="9"/>
    </row>
    <row r="1089" ht="30.0" customHeight="1">
      <c r="A1089" s="5"/>
      <c r="B1089" s="5"/>
      <c r="C1089" s="6"/>
      <c r="D1089" s="18"/>
      <c r="E1089" s="8"/>
      <c r="F1089" s="8"/>
      <c r="G1089" s="8"/>
      <c r="H1089" s="9"/>
      <c r="I1089" s="9"/>
      <c r="J1089" s="9"/>
      <c r="K1089" s="9"/>
      <c r="L1089" s="9"/>
      <c r="M1089" s="9"/>
      <c r="N1089" s="9"/>
      <c r="O1089" s="9"/>
      <c r="P1089" s="9"/>
    </row>
    <row r="1090" ht="30.0" customHeight="1">
      <c r="A1090" s="5"/>
      <c r="B1090" s="5"/>
      <c r="C1090" s="6"/>
      <c r="D1090" s="18"/>
      <c r="E1090" s="8"/>
      <c r="F1090" s="8"/>
      <c r="G1090" s="8"/>
      <c r="H1090" s="9"/>
      <c r="I1090" s="9"/>
      <c r="J1090" s="9"/>
      <c r="K1090" s="9"/>
      <c r="L1090" s="9"/>
      <c r="M1090" s="9"/>
      <c r="N1090" s="9"/>
      <c r="O1090" s="9"/>
      <c r="P1090" s="9"/>
    </row>
    <row r="1091" ht="30.0" customHeight="1">
      <c r="A1091" s="5"/>
      <c r="B1091" s="5"/>
      <c r="C1091" s="6"/>
      <c r="D1091" s="18"/>
      <c r="E1091" s="8"/>
      <c r="F1091" s="8"/>
      <c r="G1091" s="8"/>
      <c r="H1091" s="9"/>
      <c r="I1091" s="9"/>
      <c r="J1091" s="9"/>
      <c r="K1091" s="9"/>
      <c r="L1091" s="9"/>
      <c r="M1091" s="9"/>
      <c r="N1091" s="9"/>
      <c r="O1091" s="9"/>
      <c r="P1091" s="9"/>
    </row>
    <row r="1092" ht="30.0" customHeight="1">
      <c r="A1092" s="5"/>
      <c r="B1092" s="5"/>
      <c r="C1092" s="6"/>
      <c r="D1092" s="18"/>
      <c r="E1092" s="8"/>
      <c r="F1092" s="8"/>
      <c r="G1092" s="8"/>
      <c r="H1092" s="9"/>
      <c r="I1092" s="9"/>
      <c r="J1092" s="9"/>
      <c r="K1092" s="9"/>
      <c r="L1092" s="9"/>
      <c r="M1092" s="9"/>
      <c r="N1092" s="9"/>
      <c r="O1092" s="9"/>
      <c r="P1092" s="9"/>
    </row>
    <row r="1093" ht="30.0" customHeight="1">
      <c r="A1093" s="5"/>
      <c r="B1093" s="5"/>
      <c r="C1093" s="6"/>
      <c r="D1093" s="18"/>
      <c r="E1093" s="8"/>
      <c r="F1093" s="8"/>
      <c r="G1093" s="8"/>
      <c r="H1093" s="9"/>
      <c r="I1093" s="9"/>
      <c r="J1093" s="9"/>
      <c r="K1093" s="9"/>
      <c r="L1093" s="9"/>
      <c r="M1093" s="9"/>
      <c r="N1093" s="9"/>
      <c r="O1093" s="9"/>
      <c r="P1093" s="9"/>
    </row>
    <row r="1094" ht="30.0" customHeight="1">
      <c r="A1094" s="5"/>
      <c r="B1094" s="5"/>
      <c r="C1094" s="6"/>
      <c r="D1094" s="18"/>
      <c r="E1094" s="8"/>
      <c r="F1094" s="8"/>
      <c r="G1094" s="8"/>
      <c r="H1094" s="9"/>
      <c r="I1094" s="9"/>
      <c r="J1094" s="9"/>
      <c r="K1094" s="9"/>
      <c r="L1094" s="9"/>
      <c r="M1094" s="9"/>
      <c r="N1094" s="9"/>
      <c r="O1094" s="9"/>
      <c r="P1094" s="9"/>
    </row>
    <row r="1095" ht="30.0" customHeight="1">
      <c r="A1095" s="5"/>
      <c r="B1095" s="5"/>
      <c r="C1095" s="6"/>
      <c r="D1095" s="18"/>
      <c r="E1095" s="8"/>
      <c r="F1095" s="8"/>
      <c r="G1095" s="8"/>
      <c r="H1095" s="9"/>
      <c r="I1095" s="9"/>
      <c r="J1095" s="9"/>
      <c r="K1095" s="9"/>
      <c r="L1095" s="9"/>
      <c r="M1095" s="9"/>
      <c r="N1095" s="9"/>
      <c r="O1095" s="9"/>
      <c r="P1095" s="9"/>
    </row>
    <row r="1096" ht="30.0" customHeight="1">
      <c r="A1096" s="5"/>
      <c r="B1096" s="5"/>
      <c r="C1096" s="6"/>
      <c r="D1096" s="18"/>
      <c r="E1096" s="8"/>
      <c r="F1096" s="8"/>
      <c r="G1096" s="8"/>
      <c r="H1096" s="9"/>
      <c r="I1096" s="9"/>
      <c r="J1096" s="9"/>
      <c r="K1096" s="9"/>
      <c r="L1096" s="9"/>
      <c r="M1096" s="9"/>
      <c r="N1096" s="9"/>
      <c r="O1096" s="9"/>
      <c r="P1096" s="9"/>
    </row>
    <row r="1097" ht="30.0" customHeight="1">
      <c r="A1097" s="5"/>
      <c r="B1097" s="5"/>
      <c r="C1097" s="6"/>
      <c r="D1097" s="18"/>
      <c r="E1097" s="8"/>
      <c r="F1097" s="8"/>
      <c r="G1097" s="8"/>
      <c r="H1097" s="9"/>
      <c r="I1097" s="9"/>
      <c r="J1097" s="9"/>
      <c r="K1097" s="9"/>
      <c r="L1097" s="9"/>
      <c r="M1097" s="9"/>
      <c r="N1097" s="9"/>
      <c r="O1097" s="9"/>
      <c r="P1097" s="9"/>
    </row>
    <row r="1098" ht="30.0" customHeight="1">
      <c r="A1098" s="5"/>
      <c r="B1098" s="5"/>
      <c r="C1098" s="6"/>
      <c r="D1098" s="18"/>
      <c r="E1098" s="8"/>
      <c r="F1098" s="8"/>
      <c r="G1098" s="8"/>
      <c r="H1098" s="9"/>
      <c r="I1098" s="9"/>
      <c r="J1098" s="9"/>
      <c r="K1098" s="9"/>
      <c r="L1098" s="9"/>
      <c r="M1098" s="9"/>
      <c r="N1098" s="9"/>
      <c r="O1098" s="9"/>
      <c r="P1098" s="9"/>
    </row>
    <row r="1099" ht="30.0" customHeight="1">
      <c r="A1099" s="5"/>
      <c r="B1099" s="5"/>
      <c r="C1099" s="6"/>
      <c r="D1099" s="18"/>
      <c r="E1099" s="8"/>
      <c r="F1099" s="8"/>
      <c r="G1099" s="8"/>
      <c r="H1099" s="9"/>
      <c r="I1099" s="9"/>
      <c r="J1099" s="9"/>
      <c r="K1099" s="9"/>
      <c r="L1099" s="9"/>
      <c r="M1099" s="9"/>
      <c r="N1099" s="9"/>
      <c r="O1099" s="9"/>
      <c r="P1099" s="9"/>
    </row>
    <row r="1100" ht="30.0" customHeight="1">
      <c r="A1100" s="5"/>
      <c r="B1100" s="5"/>
      <c r="C1100" s="6"/>
      <c r="D1100" s="18"/>
      <c r="E1100" s="8"/>
      <c r="F1100" s="8"/>
      <c r="G1100" s="8"/>
      <c r="H1100" s="9"/>
      <c r="I1100" s="9"/>
      <c r="J1100" s="9"/>
      <c r="K1100" s="9"/>
      <c r="L1100" s="9"/>
      <c r="M1100" s="9"/>
      <c r="N1100" s="9"/>
      <c r="O1100" s="9"/>
      <c r="P1100" s="9"/>
    </row>
    <row r="1101" ht="30.0" customHeight="1">
      <c r="A1101" s="5"/>
      <c r="B1101" s="5"/>
      <c r="C1101" s="6"/>
      <c r="D1101" s="18"/>
      <c r="E1101" s="8"/>
      <c r="F1101" s="8"/>
      <c r="G1101" s="8"/>
      <c r="H1101" s="9"/>
      <c r="I1101" s="9"/>
      <c r="J1101" s="9"/>
      <c r="K1101" s="9"/>
      <c r="L1101" s="9"/>
      <c r="M1101" s="9"/>
      <c r="N1101" s="9"/>
      <c r="O1101" s="9"/>
      <c r="P1101" s="9"/>
    </row>
    <row r="1102" ht="30.0" customHeight="1">
      <c r="A1102" s="5"/>
      <c r="B1102" s="5"/>
      <c r="C1102" s="6"/>
      <c r="D1102" s="18"/>
      <c r="E1102" s="8"/>
      <c r="F1102" s="8"/>
      <c r="G1102" s="8"/>
      <c r="H1102" s="9"/>
      <c r="I1102" s="9"/>
      <c r="J1102" s="9"/>
      <c r="K1102" s="9"/>
      <c r="L1102" s="9"/>
      <c r="M1102" s="9"/>
      <c r="N1102" s="9"/>
      <c r="O1102" s="9"/>
      <c r="P1102" s="9"/>
    </row>
    <row r="1103" ht="30.0" customHeight="1">
      <c r="A1103" s="5"/>
      <c r="B1103" s="5"/>
      <c r="C1103" s="6"/>
      <c r="D1103" s="18"/>
      <c r="E1103" s="8"/>
      <c r="F1103" s="8"/>
      <c r="G1103" s="8"/>
      <c r="H1103" s="9"/>
      <c r="I1103" s="9"/>
      <c r="J1103" s="9"/>
      <c r="K1103" s="9"/>
      <c r="L1103" s="9"/>
      <c r="M1103" s="9"/>
      <c r="N1103" s="9"/>
      <c r="O1103" s="9"/>
      <c r="P1103" s="9"/>
    </row>
    <row r="1104" ht="30.0" customHeight="1">
      <c r="A1104" s="5"/>
      <c r="B1104" s="5"/>
      <c r="C1104" s="6"/>
      <c r="D1104" s="18"/>
      <c r="E1104" s="8"/>
      <c r="F1104" s="8"/>
      <c r="G1104" s="8"/>
      <c r="H1104" s="9"/>
      <c r="I1104" s="9"/>
      <c r="J1104" s="9"/>
      <c r="K1104" s="9"/>
      <c r="L1104" s="9"/>
      <c r="M1104" s="9"/>
      <c r="N1104" s="9"/>
      <c r="O1104" s="9"/>
      <c r="P1104" s="9"/>
    </row>
    <row r="1105" ht="30.0" customHeight="1">
      <c r="A1105" s="5"/>
      <c r="B1105" s="5"/>
      <c r="C1105" s="6"/>
      <c r="D1105" s="18"/>
      <c r="E1105" s="8"/>
      <c r="F1105" s="8"/>
      <c r="G1105" s="8"/>
      <c r="H1105" s="9"/>
      <c r="I1105" s="9"/>
      <c r="J1105" s="9"/>
      <c r="K1105" s="9"/>
      <c r="L1105" s="9"/>
      <c r="M1105" s="9"/>
      <c r="N1105" s="9"/>
      <c r="O1105" s="9"/>
      <c r="P1105" s="9"/>
    </row>
    <row r="1106" ht="30.0" customHeight="1">
      <c r="A1106" s="5"/>
      <c r="B1106" s="5"/>
      <c r="C1106" s="6"/>
      <c r="D1106" s="18"/>
      <c r="E1106" s="8"/>
      <c r="F1106" s="8"/>
      <c r="G1106" s="8"/>
      <c r="H1106" s="9"/>
      <c r="I1106" s="9"/>
      <c r="J1106" s="9"/>
      <c r="K1106" s="9"/>
      <c r="L1106" s="9"/>
      <c r="M1106" s="9"/>
      <c r="N1106" s="9"/>
      <c r="O1106" s="9"/>
      <c r="P1106" s="9"/>
    </row>
    <row r="1107" ht="30.0" customHeight="1">
      <c r="A1107" s="5"/>
      <c r="B1107" s="5"/>
      <c r="C1107" s="6"/>
      <c r="D1107" s="18"/>
      <c r="E1107" s="8"/>
      <c r="F1107" s="8"/>
      <c r="G1107" s="8"/>
      <c r="H1107" s="9"/>
      <c r="I1107" s="9"/>
      <c r="J1107" s="9"/>
      <c r="K1107" s="9"/>
      <c r="L1107" s="9"/>
      <c r="M1107" s="9"/>
      <c r="N1107" s="9"/>
      <c r="O1107" s="9"/>
      <c r="P1107" s="9"/>
    </row>
    <row r="1108" ht="30.0" customHeight="1">
      <c r="A1108" s="5"/>
      <c r="B1108" s="5"/>
      <c r="C1108" s="6"/>
      <c r="D1108" s="18"/>
      <c r="E1108" s="8"/>
      <c r="F1108" s="8"/>
      <c r="G1108" s="8"/>
      <c r="H1108" s="9"/>
      <c r="I1108" s="9"/>
      <c r="J1108" s="9"/>
      <c r="K1108" s="9"/>
      <c r="L1108" s="9"/>
      <c r="M1108" s="9"/>
      <c r="N1108" s="9"/>
      <c r="O1108" s="9"/>
      <c r="P1108" s="9"/>
    </row>
    <row r="1109" ht="30.0" customHeight="1">
      <c r="A1109" s="5"/>
      <c r="B1109" s="5"/>
      <c r="C1109" s="6"/>
      <c r="D1109" s="18"/>
      <c r="E1109" s="8"/>
      <c r="F1109" s="8"/>
      <c r="G1109" s="8"/>
      <c r="H1109" s="9"/>
      <c r="I1109" s="9"/>
      <c r="J1109" s="9"/>
      <c r="K1109" s="9"/>
      <c r="L1109" s="9"/>
      <c r="M1109" s="9"/>
      <c r="N1109" s="9"/>
      <c r="O1109" s="9"/>
      <c r="P1109" s="9"/>
    </row>
    <row r="1110" ht="30.0" customHeight="1">
      <c r="A1110" s="5"/>
      <c r="B1110" s="5"/>
      <c r="C1110" s="6"/>
      <c r="D1110" s="18"/>
      <c r="E1110" s="8"/>
      <c r="F1110" s="8"/>
      <c r="G1110" s="8"/>
      <c r="H1110" s="9"/>
      <c r="I1110" s="9"/>
      <c r="J1110" s="9"/>
      <c r="K1110" s="9"/>
      <c r="L1110" s="9"/>
      <c r="M1110" s="9"/>
      <c r="N1110" s="9"/>
      <c r="O1110" s="9"/>
      <c r="P1110" s="9"/>
    </row>
    <row r="1111" ht="30.0" customHeight="1">
      <c r="A1111" s="5"/>
      <c r="B1111" s="5"/>
      <c r="C1111" s="6"/>
      <c r="D1111" s="18"/>
      <c r="E1111" s="8"/>
      <c r="F1111" s="8"/>
      <c r="G1111" s="8"/>
      <c r="H1111" s="9"/>
      <c r="I1111" s="9"/>
      <c r="J1111" s="9"/>
      <c r="K1111" s="9"/>
      <c r="L1111" s="9"/>
      <c r="M1111" s="9"/>
      <c r="N1111" s="9"/>
      <c r="O1111" s="9"/>
      <c r="P1111" s="9"/>
    </row>
    <row r="1112" ht="30.0" customHeight="1">
      <c r="A1112" s="5"/>
      <c r="B1112" s="5"/>
      <c r="C1112" s="6"/>
      <c r="D1112" s="18"/>
      <c r="E1112" s="8"/>
      <c r="F1112" s="8"/>
      <c r="G1112" s="8"/>
      <c r="H1112" s="9"/>
      <c r="I1112" s="9"/>
      <c r="J1112" s="9"/>
      <c r="K1112" s="9"/>
      <c r="L1112" s="9"/>
      <c r="M1112" s="9"/>
      <c r="N1112" s="9"/>
      <c r="O1112" s="9"/>
      <c r="P1112" s="9"/>
    </row>
    <row r="1113" ht="30.0" customHeight="1">
      <c r="A1113" s="5"/>
      <c r="B1113" s="5"/>
      <c r="C1113" s="6"/>
      <c r="D1113" s="18"/>
      <c r="E1113" s="8"/>
      <c r="F1113" s="8"/>
      <c r="G1113" s="8"/>
      <c r="H1113" s="9"/>
      <c r="I1113" s="9"/>
      <c r="J1113" s="9"/>
      <c r="K1113" s="9"/>
      <c r="L1113" s="9"/>
      <c r="M1113" s="9"/>
      <c r="N1113" s="9"/>
      <c r="O1113" s="9"/>
      <c r="P1113" s="9"/>
    </row>
    <row r="1114" ht="30.0" customHeight="1">
      <c r="A1114" s="5"/>
      <c r="B1114" s="5"/>
      <c r="C1114" s="6"/>
      <c r="D1114" s="18"/>
      <c r="E1114" s="8"/>
      <c r="F1114" s="8"/>
      <c r="G1114" s="8"/>
      <c r="H1114" s="9"/>
      <c r="I1114" s="9"/>
      <c r="J1114" s="9"/>
      <c r="K1114" s="9"/>
      <c r="L1114" s="9"/>
      <c r="M1114" s="9"/>
      <c r="N1114" s="9"/>
      <c r="O1114" s="9"/>
      <c r="P1114" s="9"/>
    </row>
    <row r="1115" ht="30.0" customHeight="1">
      <c r="A1115" s="5"/>
      <c r="B1115" s="5"/>
      <c r="C1115" s="6"/>
      <c r="D1115" s="18"/>
      <c r="E1115" s="8"/>
      <c r="F1115" s="8"/>
      <c r="G1115" s="8"/>
      <c r="H1115" s="9"/>
      <c r="I1115" s="9"/>
      <c r="J1115" s="9"/>
      <c r="K1115" s="9"/>
      <c r="L1115" s="9"/>
      <c r="M1115" s="9"/>
      <c r="N1115" s="9"/>
      <c r="O1115" s="9"/>
      <c r="P1115" s="9"/>
    </row>
    <row r="1116" ht="30.0" customHeight="1">
      <c r="A1116" s="5"/>
      <c r="B1116" s="5"/>
      <c r="C1116" s="6"/>
      <c r="D1116" s="18"/>
      <c r="E1116" s="8"/>
      <c r="F1116" s="8"/>
      <c r="G1116" s="8"/>
      <c r="H1116" s="9"/>
      <c r="I1116" s="9"/>
      <c r="J1116" s="9"/>
      <c r="K1116" s="9"/>
      <c r="L1116" s="9"/>
      <c r="M1116" s="9"/>
      <c r="N1116" s="9"/>
      <c r="O1116" s="9"/>
      <c r="P1116" s="9"/>
    </row>
    <row r="1117" ht="30.0" customHeight="1">
      <c r="A1117" s="5"/>
      <c r="B1117" s="5"/>
      <c r="C1117" s="6"/>
      <c r="D1117" s="18"/>
      <c r="E1117" s="8"/>
      <c r="F1117" s="8"/>
      <c r="G1117" s="8"/>
      <c r="H1117" s="9"/>
      <c r="I1117" s="9"/>
      <c r="J1117" s="9"/>
      <c r="K1117" s="9"/>
      <c r="L1117" s="9"/>
      <c r="M1117" s="9"/>
      <c r="N1117" s="9"/>
      <c r="O1117" s="9"/>
      <c r="P1117" s="9"/>
    </row>
    <row r="1118" ht="30.0" customHeight="1">
      <c r="A1118" s="5"/>
      <c r="B1118" s="5"/>
      <c r="C1118" s="6"/>
      <c r="D1118" s="18"/>
      <c r="E1118" s="8"/>
      <c r="F1118" s="8"/>
      <c r="G1118" s="8"/>
      <c r="H1118" s="9"/>
      <c r="I1118" s="9"/>
      <c r="J1118" s="9"/>
      <c r="K1118" s="9"/>
      <c r="L1118" s="9"/>
      <c r="M1118" s="9"/>
      <c r="N1118" s="9"/>
      <c r="O1118" s="9"/>
      <c r="P1118" s="9"/>
    </row>
    <row r="1119" ht="30.0" customHeight="1">
      <c r="A1119" s="5"/>
      <c r="B1119" s="5"/>
      <c r="C1119" s="6"/>
      <c r="D1119" s="18"/>
      <c r="E1119" s="8"/>
      <c r="F1119" s="8"/>
      <c r="G1119" s="8"/>
      <c r="H1119" s="9"/>
      <c r="I1119" s="9"/>
      <c r="J1119" s="9"/>
      <c r="K1119" s="9"/>
      <c r="L1119" s="9"/>
      <c r="M1119" s="9"/>
      <c r="N1119" s="9"/>
      <c r="O1119" s="9"/>
      <c r="P1119" s="9"/>
    </row>
    <row r="1120" ht="30.0" customHeight="1">
      <c r="A1120" s="5"/>
      <c r="B1120" s="5"/>
      <c r="C1120" s="6"/>
      <c r="D1120" s="18"/>
      <c r="E1120" s="8"/>
      <c r="F1120" s="8"/>
      <c r="G1120" s="8"/>
      <c r="H1120" s="9"/>
      <c r="I1120" s="9"/>
      <c r="J1120" s="9"/>
      <c r="K1120" s="9"/>
      <c r="L1120" s="9"/>
      <c r="M1120" s="9"/>
      <c r="N1120" s="9"/>
      <c r="O1120" s="9"/>
      <c r="P1120" s="9"/>
    </row>
    <row r="1121" ht="30.0" customHeight="1">
      <c r="A1121" s="5"/>
      <c r="B1121" s="5"/>
      <c r="C1121" s="6"/>
      <c r="D1121" s="18"/>
      <c r="E1121" s="8"/>
      <c r="F1121" s="8"/>
      <c r="G1121" s="8"/>
      <c r="H1121" s="9"/>
      <c r="I1121" s="9"/>
      <c r="J1121" s="9"/>
      <c r="K1121" s="9"/>
      <c r="L1121" s="9"/>
      <c r="M1121" s="9"/>
      <c r="N1121" s="9"/>
      <c r="O1121" s="9"/>
      <c r="P1121" s="9"/>
    </row>
    <row r="1122" ht="30.0" customHeight="1">
      <c r="A1122" s="5"/>
      <c r="B1122" s="5"/>
      <c r="C1122" s="6"/>
      <c r="D1122" s="18"/>
      <c r="E1122" s="8"/>
      <c r="F1122" s="8"/>
      <c r="G1122" s="8"/>
      <c r="H1122" s="9"/>
      <c r="I1122" s="9"/>
      <c r="J1122" s="9"/>
      <c r="K1122" s="9"/>
      <c r="L1122" s="9"/>
      <c r="M1122" s="9"/>
      <c r="N1122" s="9"/>
      <c r="O1122" s="9"/>
      <c r="P1122" s="9"/>
    </row>
    <row r="1123" ht="30.0" customHeight="1">
      <c r="A1123" s="5"/>
      <c r="B1123" s="5"/>
      <c r="C1123" s="6"/>
      <c r="D1123" s="18"/>
      <c r="E1123" s="8"/>
      <c r="F1123" s="8"/>
      <c r="G1123" s="8"/>
      <c r="H1123" s="9"/>
      <c r="I1123" s="9"/>
      <c r="J1123" s="9"/>
      <c r="K1123" s="9"/>
      <c r="L1123" s="9"/>
      <c r="M1123" s="9"/>
      <c r="N1123" s="9"/>
      <c r="O1123" s="9"/>
      <c r="P1123" s="9"/>
    </row>
    <row r="1124" ht="30.0" customHeight="1">
      <c r="A1124" s="5"/>
      <c r="B1124" s="5"/>
      <c r="C1124" s="6"/>
      <c r="D1124" s="18"/>
      <c r="E1124" s="8"/>
      <c r="F1124" s="8"/>
      <c r="G1124" s="8"/>
      <c r="H1124" s="9"/>
      <c r="I1124" s="9"/>
      <c r="J1124" s="9"/>
      <c r="K1124" s="9"/>
      <c r="L1124" s="9"/>
      <c r="M1124" s="9"/>
      <c r="N1124" s="9"/>
      <c r="O1124" s="9"/>
      <c r="P1124" s="9"/>
    </row>
    <row r="1125" ht="30.0" customHeight="1">
      <c r="A1125" s="5"/>
      <c r="B1125" s="5"/>
      <c r="C1125" s="6"/>
      <c r="D1125" s="18"/>
      <c r="E1125" s="8"/>
      <c r="F1125" s="8"/>
      <c r="G1125" s="8"/>
      <c r="H1125" s="9"/>
      <c r="I1125" s="9"/>
      <c r="J1125" s="9"/>
      <c r="K1125" s="9"/>
      <c r="L1125" s="9"/>
      <c r="M1125" s="9"/>
      <c r="N1125" s="9"/>
      <c r="O1125" s="9"/>
      <c r="P1125" s="9"/>
    </row>
    <row r="1126" ht="30.0" customHeight="1">
      <c r="A1126" s="5"/>
      <c r="B1126" s="5"/>
      <c r="C1126" s="6"/>
      <c r="D1126" s="18"/>
      <c r="E1126" s="8"/>
      <c r="F1126" s="8"/>
      <c r="G1126" s="8"/>
      <c r="H1126" s="9"/>
      <c r="I1126" s="9"/>
      <c r="J1126" s="9"/>
      <c r="K1126" s="9"/>
      <c r="L1126" s="9"/>
      <c r="M1126" s="9"/>
      <c r="N1126" s="9"/>
      <c r="O1126" s="9"/>
      <c r="P1126" s="9"/>
    </row>
    <row r="1127" ht="30.0" customHeight="1">
      <c r="A1127" s="5"/>
      <c r="B1127" s="5"/>
      <c r="C1127" s="6"/>
      <c r="D1127" s="18"/>
      <c r="E1127" s="8"/>
      <c r="F1127" s="8"/>
      <c r="G1127" s="8"/>
      <c r="H1127" s="9"/>
      <c r="I1127" s="9"/>
      <c r="J1127" s="9"/>
      <c r="K1127" s="9"/>
      <c r="L1127" s="9"/>
      <c r="M1127" s="9"/>
      <c r="N1127" s="9"/>
      <c r="O1127" s="9"/>
      <c r="P1127" s="9"/>
    </row>
    <row r="1128" ht="30.0" customHeight="1">
      <c r="A1128" s="5"/>
      <c r="B1128" s="5"/>
      <c r="C1128" s="6"/>
      <c r="D1128" s="18"/>
      <c r="E1128" s="8"/>
      <c r="F1128" s="8"/>
      <c r="G1128" s="8"/>
      <c r="H1128" s="9"/>
      <c r="I1128" s="9"/>
      <c r="J1128" s="9"/>
      <c r="K1128" s="9"/>
      <c r="L1128" s="9"/>
      <c r="M1128" s="9"/>
      <c r="N1128" s="9"/>
      <c r="O1128" s="9"/>
      <c r="P1128" s="9"/>
    </row>
    <row r="1129" ht="30.0" customHeight="1">
      <c r="A1129" s="5"/>
      <c r="B1129" s="5"/>
      <c r="C1129" s="6"/>
      <c r="D1129" s="18"/>
      <c r="E1129" s="8"/>
      <c r="F1129" s="8"/>
      <c r="G1129" s="8"/>
      <c r="H1129" s="9"/>
      <c r="I1129" s="9"/>
      <c r="J1129" s="9"/>
      <c r="K1129" s="9"/>
      <c r="L1129" s="9"/>
      <c r="M1129" s="9"/>
      <c r="N1129" s="9"/>
      <c r="O1129" s="9"/>
      <c r="P1129" s="9"/>
    </row>
    <row r="1130" ht="30.0" customHeight="1">
      <c r="A1130" s="5"/>
      <c r="B1130" s="5"/>
      <c r="C1130" s="6"/>
      <c r="D1130" s="18"/>
      <c r="E1130" s="8"/>
      <c r="F1130" s="8"/>
      <c r="G1130" s="8"/>
      <c r="H1130" s="9"/>
      <c r="I1130" s="9"/>
      <c r="J1130" s="9"/>
      <c r="K1130" s="9"/>
      <c r="L1130" s="9"/>
      <c r="M1130" s="9"/>
      <c r="N1130" s="9"/>
      <c r="O1130" s="9"/>
      <c r="P1130" s="9"/>
    </row>
    <row r="1131" ht="30.0" customHeight="1">
      <c r="A1131" s="5"/>
      <c r="B1131" s="5"/>
      <c r="C1131" s="6"/>
      <c r="D1131" s="18"/>
      <c r="E1131" s="8"/>
      <c r="F1131" s="8"/>
      <c r="G1131" s="8"/>
      <c r="H1131" s="9"/>
      <c r="I1131" s="9"/>
      <c r="J1131" s="9"/>
      <c r="K1131" s="9"/>
      <c r="L1131" s="9"/>
      <c r="M1131" s="9"/>
      <c r="N1131" s="9"/>
      <c r="O1131" s="9"/>
      <c r="P1131" s="9"/>
    </row>
    <row r="1132" ht="30.0" customHeight="1">
      <c r="A1132" s="5"/>
      <c r="B1132" s="5"/>
      <c r="C1132" s="6"/>
      <c r="D1132" s="18"/>
      <c r="E1132" s="8"/>
      <c r="F1132" s="8"/>
      <c r="G1132" s="8"/>
      <c r="H1132" s="9"/>
      <c r="I1132" s="9"/>
      <c r="J1132" s="9"/>
      <c r="K1132" s="9"/>
      <c r="L1132" s="9"/>
      <c r="M1132" s="9"/>
      <c r="N1132" s="9"/>
      <c r="O1132" s="9"/>
      <c r="P1132" s="9"/>
    </row>
    <row r="1133" ht="30.0" customHeight="1">
      <c r="A1133" s="5"/>
      <c r="B1133" s="5"/>
      <c r="C1133" s="6"/>
      <c r="D1133" s="18"/>
      <c r="E1133" s="8"/>
      <c r="F1133" s="8"/>
      <c r="G1133" s="8"/>
      <c r="H1133" s="9"/>
      <c r="I1133" s="9"/>
      <c r="J1133" s="9"/>
      <c r="K1133" s="9"/>
      <c r="L1133" s="9"/>
      <c r="M1133" s="9"/>
      <c r="N1133" s="9"/>
      <c r="O1133" s="9"/>
      <c r="P1133" s="9"/>
    </row>
    <row r="1134" ht="30.0" customHeight="1">
      <c r="A1134" s="5"/>
      <c r="B1134" s="5"/>
      <c r="C1134" s="6"/>
      <c r="D1134" s="18"/>
      <c r="E1134" s="8"/>
      <c r="F1134" s="8"/>
      <c r="G1134" s="8"/>
      <c r="H1134" s="9"/>
      <c r="I1134" s="9"/>
      <c r="J1134" s="9"/>
      <c r="K1134" s="9"/>
      <c r="L1134" s="9"/>
      <c r="M1134" s="9"/>
      <c r="N1134" s="9"/>
      <c r="O1134" s="9"/>
      <c r="P1134" s="9"/>
    </row>
  </sheetData>
  <drawing r:id="rId1"/>
</worksheet>
</file>