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sferimenti ad Enti Pubblici" sheetId="1" r:id="rId3"/>
  </sheets>
  <definedNames/>
  <calcPr/>
</workbook>
</file>

<file path=xl/sharedStrings.xml><?xml version="1.0" encoding="utf-8"?>
<sst xmlns="http://schemas.openxmlformats.org/spreadsheetml/2006/main" count="2849" uniqueCount="803">
  <si>
    <t>Impresa o altro soggetto beneficiario</t>
  </si>
  <si>
    <t>Partita IVA o Codice Fiscale</t>
  </si>
  <si>
    <t>Importo in Euro</t>
  </si>
  <si>
    <t>Norma o titolo base dell'attribuzione</t>
  </si>
  <si>
    <t>Oggetto</t>
  </si>
  <si>
    <t>Ufficio</t>
  </si>
  <si>
    <t>Modalita' seguita per l'individuazione del beneficiario</t>
  </si>
  <si>
    <t>Allegato 1</t>
  </si>
  <si>
    <t>Allegato 2</t>
  </si>
  <si>
    <t>COMUNE DI TOLLO</t>
  </si>
  <si>
    <t>PI 00145440699</t>
  </si>
  <si>
    <t>EROGAZIONE FONDI PER INTERVENTI DI RICOSTRUZIONE PRIVATA COMUNI "FUORI CRATERE" EX DELIBERA CIPE 22/2015 DEL 20/02/2015 (GU 140 DEL 19/06/2015) - COMUNE DI TOLLO (CH)</t>
  </si>
  <si>
    <t>USRC</t>
  </si>
  <si>
    <t>CODFIN CIPE22/2015</t>
  </si>
  <si>
    <t>COMUNE DI CAPORCIANO</t>
  </si>
  <si>
    <t>CF 00187590666</t>
  </si>
  <si>
    <t>EROGAZIONE RISORSE FINALIZZATE ALLA RICOSTRUZIONE PRIVATA EX DELIBERA CIPE 135/2012, 23/2014 E DELIBERA CIPE 22/2015 - COMUNE DI CAPORCIANO (AQ)</t>
  </si>
  <si>
    <t>CODFIN CIPE 135/2012 CIPE22/2015</t>
  </si>
  <si>
    <t>COMUNE DI BUSSI SUL TIRINO</t>
  </si>
  <si>
    <t>CF 00231710682</t>
  </si>
  <si>
    <t>EROGAZIONE RISORSE FINALIZZATE ALLA RICOSTRUZIONE PRIVATA EX DELIBERA CIPE 23/2014 E DELIBERA CIPE 22/2015 - COMUNE DI BUSSI SUL TIRINO (PE)</t>
  </si>
  <si>
    <t>COMUNE DI COCULLO</t>
  </si>
  <si>
    <t>CF 00218020667</t>
  </si>
  <si>
    <t>EROGAZIONE FONDI I SAL RELATIVO ALL'INTERVENTO DI RIPRISTINO DELL'ACCESSIBILITÀ E DELLA FUNZIONALITÀ DELLE STRUTTURE CIMITERIALI-OSSARIO-COMUNE DI COCULLO (AQ)</t>
  </si>
  <si>
    <t>CODFIN CIPE135art1c3</t>
  </si>
  <si>
    <t>COMUNE DI SANT'EUSANIO FORCONESE</t>
  </si>
  <si>
    <t>CF 80002610667</t>
  </si>
  <si>
    <t>EROGAZIONE FONDI PER RIMBORSO INTERVENTI ESEGUITI IN SOMMA URGENZA "LAVORI DI STRAORDINARIA MANUTENZIONE MAP 01" - COMUNE DI SANT'EUSANIO FORCONESE (AQ)</t>
  </si>
  <si>
    <t>CODFIN CIPE135art1c1 CIPE78art1c1</t>
  </si>
  <si>
    <t>COMUNE DI FOSSA</t>
  </si>
  <si>
    <t>CF 80001770660</t>
  </si>
  <si>
    <t>EROGAZIONE FONDI FINALIZZATI ALLA LIQUIDAZIONE DEI LAVORI DI ASSISTENZA ARCHEOLOGICA LAVORI RINVENIMENTI ARCHEOLOGICI C/O CANTIERE DENOMINATO AGGREGATO EDILIZIO "CONSORZIO OSTERIA-PETROCCO" DANNEGGIATO DAL SISMA 6 APRILE 2009 FG.7 PARTICELLE N. 128,135,137 DPC 4400337.</t>
  </si>
  <si>
    <t>COMUNE DI SAN DEMETRIO NE' VESTINI</t>
  </si>
  <si>
    <t>CF 80002710665</t>
  </si>
  <si>
    <t>EROGAZIONE RISORSE FINALIZZATE ALLA RICOSTRUZIONE PRIVATA EX DELIBERA CIPE 23/2014 E DELIBERA CIPE 22/2015 - COMUNE DI SAN DEMETRIO NE' VESTINI (AQ)</t>
  </si>
  <si>
    <t>CODFIN CIPE 135/2012 CIPE 23/2014 CIPE22/2015</t>
  </si>
  <si>
    <t>COMUNE DI ROCCA DI CAMBIO</t>
  </si>
  <si>
    <t>CF 00213130669</t>
  </si>
  <si>
    <t>EROGAZIONE FONDI LIQUIDAZIONE II SAL PER LAVORI DI RIPARAZIONE DANNI CAUSATI DAL SISMA DEL 06/04/2009 SU INFRASTRUTTURE PUBBLICHE COMUNALI-COMUNE DI ROCCA DI CAMBIO (AQ)</t>
  </si>
  <si>
    <t>COMUNE DI SAN PIO DELLE CAMERE</t>
  </si>
  <si>
    <t>CF 00197690662</t>
  </si>
  <si>
    <t>EROGAZIONE FONDI PER LIQUIDAZIONE I SAL RELATIVO AI LAVORI DI MESSA IN SICUREZZA DELLE SEDE STRADALE E DEL CAMPO DA GIOCO POLIVALENTE IN CORRISPONDENZA DELLA VIABILITA' DI ACCESSO AREA MAP-OVEST DELLA FRAZIONE DI CASTELNUOVO - COMUNE DI SAN PIO DELLE CAMERE</t>
  </si>
  <si>
    <t>COMUNE DI TOSSICIA</t>
  </si>
  <si>
    <t>CF 80000370678</t>
  </si>
  <si>
    <t>EROGAZIONE FONDI PER REDAZIONE PIANO DI RICOSTRUZIONE - COMUNE DI TOSSICIA (TE)</t>
  </si>
  <si>
    <t>EROGAZIONE FONDI SAL FINALE RELATIVO AL PROGETTO DEFINITIVO-ESECUTIVO DI LAVORI DI MANUTENZIONE STRAORDIANARIA - CIRCOLO CULTURALE - COMUNE DI SAN PIO DELLE CAMERE (AQ)</t>
  </si>
  <si>
    <t>COMUNE DI BARETE</t>
  </si>
  <si>
    <t>CF 00148360662</t>
  </si>
  <si>
    <t>EROGAZIONE FONDI III SAL, COMPETENZE TECNICHE COORDINAMENTO SICUREZZA E SUPPORTO AL RUP RELATIVI AL PROGETTO DEFINITIVO-ESECUTIVO DI RECUPERO EDILIZIO DI PALAZZO CIONNI SITO IN PIAZZA UMBERTO I , SITO A BARETE (AQ)</t>
  </si>
  <si>
    <t>COMUNE DI BUGNARA</t>
  </si>
  <si>
    <t>CF 00190300665</t>
  </si>
  <si>
    <t>EROGAZIONE FONDI A TITOLO DI SALDO DEI LAVORI E DELLE PRESTAZIONI TECNICHE RELATIVI ALL'INTERVENTO DI MESSA IN SICUREZZA DEGLI IMMOBILI SITI IN LARGO SANT'ANGELO - COMUNE DI BUGNARA (AQ)</t>
  </si>
  <si>
    <t>COMUNE DI MONTEBELLO DI BERTONA</t>
  </si>
  <si>
    <t>CF 80001270687</t>
  </si>
  <si>
    <t>EROGAZIONE FONDI PER LIQUIDAZIONE SOMME A SALDO ED ACCERTAMENTO DELLE ECONOMIE CORRELATO AL PROGETTO DEFINITIVO-ESECUTIVO DI LAVORI DI RIPARAZIONE DANNI CAUSATI DAL SISMA DEL 06/04/2009 SU INFRASTRUTTURE PUBBLICHE COMUNALI - MURO A GRAVITA' SITO IN VIA G.D'ANNUNZIO - COMUNE DI MONTEBELLO DI BERTONA (PE)</t>
  </si>
  <si>
    <t>COMUNE DI RAIANO</t>
  </si>
  <si>
    <t>CF 00219510666</t>
  </si>
  <si>
    <t>ACQUISIZIONE DELLA RENDICONTAZIONE DELL'ACCONTO E DEL SALDO DELLA SECONDA RATA (TERZO TRASFERIMENTO) ED EROGAZIONE FONDI QUARTO TRASFERIMENTO PER ATTUAZIONE INTERVENTI IN MATERIA DI EDILIZIA SCOLASTICA.- NUOVA COSTRUZIONE DI UN COMPLESSO SCOLASTICO DESTINATO AD OSPITARE LA SCUOLA PRIMARIA E SECONDARIA DI PRIMO GRADO ED UNA PALESTRA AD USO COMUNE. INTERVENTO INDIVIDUATO AL N.53 DELL'ALLEGATTO AL D.C.D.N.89/2011, E AL N.46 DELL'ALLEGATO RIMODULATO APPROVATO CON DELIBERA N.85/2013. CUP:I29H1100040000, CIG: 60723559DC, PROTOCOLLO NORMALIZZATO: AQ-RAN-OOPP-01270 - COMUNE DI RAIANO (AQ)</t>
  </si>
  <si>
    <t>CODFIN DISET48CIart10c1</t>
  </si>
  <si>
    <t>COMUNE DI CALASCIO</t>
  </si>
  <si>
    <t>CF 80007890660</t>
  </si>
  <si>
    <t>EROGAZIONE FONDI PER INTERVENTI DI RICOSTRUZIONE PRIVATA COMUNI "FUORI CRATERE" EX DELIBERA CIPE 135/2012 DEL 21/12/2012 (GU 63 DEL 15/03/2013) - COMUNE DI CALASCIO (AQ)</t>
  </si>
  <si>
    <t>CODFIN CIPE135/2012</t>
  </si>
  <si>
    <t>COMUNE DI BISENTI</t>
  </si>
  <si>
    <t>CF 00195310677</t>
  </si>
  <si>
    <t>EROGAZIONE FONDI PER INTERVENTI DI RICOSTRUZIONE PRIVATA COMUNI "FUORI CRATERE" EX DELIBERA CIPE 22/2015 (GU 140 DEL 19/06/2015) - COMUNE DI BISENTI (TE)</t>
  </si>
  <si>
    <t>EROGAZIONE FONDI PER LIQUIDAZIONE II SAL CORRELATO AL PROGETTO DEFINITIVO RELATIVO ALL'INTERVENTO DI RECUPERO DI PALAZZO ALESI - COMUNE DI BUGNARA (AQ)</t>
  </si>
  <si>
    <t>COMUNE D BARETE</t>
  </si>
  <si>
    <t>LIQUIDAZIONE STATO FINALE E SPESE TECNICHE PER LAVORI DI MESSA IN SICUREZZA INTERVENTO DI DEMOLIZIONE DI DUE EDIFICI SITI IN LOCALITÀ PIEDI IL VICOLO CENSITI AL N.C.E.U. DEL COMUNE DI BARETE FG. 9,PART 848 - 850 - 914 - COMUNE DI BARETE (AQ)</t>
  </si>
  <si>
    <t>COMUNE DI CAPITIGNANO</t>
  </si>
  <si>
    <t>CF 00164280661</t>
  </si>
  <si>
    <t>ACQUISIZIONE DOCUMENTAZIONE ATTA ALLA RENDICONTAZIONE DELLA SECONDA RATA E TRASFERIMENTO FONDI TERZA RATA RELATIVA AL PROGETTO DEFINITIVO/ESECUTIVO INERENTE LA REALIZZAZIONE DI UN NUOVO EDIFICIO SCOLASTICO PER OSPITARE LA SCUOLA D'INFANZIA - INTERVENTO INDIVIDUATO NELL'ALLEGATO AL N.24 DEL D.C.D. N. 89/2011 E AL N. 14 DELL'ALLEGATO RIMODULATO DI CUI ALLA DELIBERA CIPE N. 85/2013 - CUP G99H12000660005 - CIG 6292731DE2 - PROTOCOLLO NORMALIZZATO - AQ - CPT - OOPP - 04634 - COMUNE DI CAPITIGNANO (AQ)</t>
  </si>
  <si>
    <t>COMUNE DI CORFINIO</t>
  </si>
  <si>
    <t>CF 83000590667</t>
  </si>
  <si>
    <t>EROGAZIONE FONDI PER INTERVENTI DI RICOSTRUZIONE PRIVATA COMUNI "FUORI CRATERE" EX DELIBERA CIPE 22/2015 DEL 20/02/2015 (GU 140 DEL 19/06/2015) - COMUNE DI CORFINIO (AQ)</t>
  </si>
  <si>
    <t>EROGAZIONE FONDI PER SPESE TECNICHE RELATIVE AL I SAL RELATIVO ALL'INTERVENTO DI RIPRISTINO DELL'ACCESSIBILITÀ E DELLA FUNZIONALITÀ DELLE STRUTTURE CIMITERIALI-OSSARIO- COMUNE DI COCULLO (AQ)</t>
  </si>
  <si>
    <t>COMUNE DI BRITTOLI</t>
  </si>
  <si>
    <t>CF 80001450685</t>
  </si>
  <si>
    <t>EROGAZIONE FONDI A TITOLO DI ACCONTO PER INTERVENTO DI MESSA IN SICUREZZA DEL MURO SITO IN VIA SANTA MARIA - BRITTOLI (PE)</t>
  </si>
  <si>
    <t>EROGAZIONE FONDI LIQUIDAZIONE II SAL RELATIVO AL PROGETTO ESECUTIVO DI RECUPERO E VALORIZZAZIONE DELLA TORRE MEDIOEVALE DANNEGGIATA DAL SISMA DEL 06/04/2009 SITA NEL COMUNE DI COCULLO (AQ)</t>
  </si>
  <si>
    <t>COMUNE DI ISOLA DEL GRAN SASSO D'ITALIA</t>
  </si>
  <si>
    <t>CF 80003790674</t>
  </si>
  <si>
    <t>EROGAZIONE FONDI PER INTERVENTI DI RICOSTRUZIONE PRIVATA COMUNI "FUORI CRATERE" EX DELIBERA CIPE 22/2015 DEL 20/02/2015 (GU 140 DEL 19/06/2015) - COMUNE DI ISOLA DEL GRAN SASSO D'ITALIA (TE)</t>
  </si>
  <si>
    <t>COMUNE DI GAGLIANO ATERNO</t>
  </si>
  <si>
    <t>CF 00212360663</t>
  </si>
  <si>
    <t>RENDICONTAZIONE CO.CO.CO. (GENNAIO-DICEMBRE 2015)</t>
  </si>
  <si>
    <t>CODFIN CIPE113a4c1</t>
  </si>
  <si>
    <t>COMUNE DI CASTELVECCHIO SUBEQUO</t>
  </si>
  <si>
    <t>CF 00208410662</t>
  </si>
  <si>
    <t>RENDICONTAZIONE CO.CO.CO. ( GENNAIO - MAGGIO 2016)</t>
  </si>
  <si>
    <t>COMUNE DI COLLARMELE</t>
  </si>
  <si>
    <t>CF 00212670665</t>
  </si>
  <si>
    <t>RENDICONTAZIONE CO.CO.CO. (GENNAIO-MAGGIO 2016)</t>
  </si>
  <si>
    <t>COMUNE DI PRATA D'ANSIDONIA</t>
  </si>
  <si>
    <t>CF 00195150669</t>
  </si>
  <si>
    <t>COMUNE DI ROCCA DI MEZZO</t>
  </si>
  <si>
    <t>CF 80005730660</t>
  </si>
  <si>
    <t>COMUNE DI TORNIMPARTE</t>
  </si>
  <si>
    <t>CF 00190240663</t>
  </si>
  <si>
    <t>COMUNE DI COLLEPIETRO</t>
  </si>
  <si>
    <t>CF 00093010668</t>
  </si>
  <si>
    <t>EROGAZIONE FONDI PER INTERVENTI DI RICOSTRUZIONE PRIVATA COMUNI "FUORI CRATERE" EX DELIBERA CIPE 135/2012 DEL 21/12/2012 (GU 63 DEL 13/03/2013) E CIPE 22/2015 DEL 20/02/2015 (GU 140 DEL 19/06/2015) - COMUNE DI COLLEPIETRO (AQ)</t>
  </si>
  <si>
    <t>CODFIN CIPE135/2012 CIPE22/2015</t>
  </si>
  <si>
    <t>COMUNE DI ACCIANO</t>
  </si>
  <si>
    <t>CF 83003750664</t>
  </si>
  <si>
    <t>CONTRIBUTO AUTONOMA SISTEMAZIONE (OTTOBRE 2016)</t>
  </si>
  <si>
    <t>CODFIN CIPE135a1c1 CIPE78a1c1</t>
  </si>
  <si>
    <t>CONTRIBUTO AUTONOMA SISTEMAZIONE (MARZO 2016)</t>
  </si>
  <si>
    <t>COMUNE DI CAPESTRANO</t>
  </si>
  <si>
    <t>CF 00199980665</t>
  </si>
  <si>
    <t>CONTRIBUTO AUTONOMA SISTEMAZIONE (OTTOBRE 2016 )</t>
  </si>
  <si>
    <t>CONTRIBUTO AUTONOMA SISTEMAZIONE (AGOSTO-DICEMBRE 2016 )</t>
  </si>
  <si>
    <t>CONTRIBUTO AUTONOMA SISTEMAZIONE (OTTOBRE 2014,MAG-DIC 2015,GEN-NOV 2016 )</t>
  </si>
  <si>
    <t>COMUNE DI COLLEDARA</t>
  </si>
  <si>
    <t>CF 80004630671</t>
  </si>
  <si>
    <t>CONTRIBUTO AUTONOMA SISTEMAZIONE (LUGLIO-SETTEMBRE 2016 )</t>
  </si>
  <si>
    <t>CONTRIBUTO AUTONOMA SISTEMAZIONE (GIUGNO 2015-OTTOBRE 2016)</t>
  </si>
  <si>
    <t>COMUNE DI OFENA</t>
  </si>
  <si>
    <t>CF 80004410660</t>
  </si>
  <si>
    <t>CONTRIBUTO AUTONOMA SISTEMAZIONE (NOVEMBRE 2015,NOVEMBRE 2016)</t>
  </si>
  <si>
    <t>COMUNE DI POPOLI</t>
  </si>
  <si>
    <t>CF 00123600686</t>
  </si>
  <si>
    <t>CONTRIBUTO AUTONOMA SISTEMAZIONE (OTTOBRE,NOVEMBRE 2016)</t>
  </si>
  <si>
    <t>CONTRIBUTO AUTONOMA SISTEMAZIONE (NOVEMBRE-DICEMBRE 2016)</t>
  </si>
  <si>
    <t>COMUNE DI BELLANTE</t>
  </si>
  <si>
    <t>CF 00212050678</t>
  </si>
  <si>
    <t>CONTRIBUTO AUTONOMA SISTEMAZIONE (MARZO - DICEMBRE 2016)</t>
  </si>
  <si>
    <t>CONTRIBUTO AUTONOMA SISTEMAZIONE (GIUGNO - DICEMBRE 2016)</t>
  </si>
  <si>
    <t>COMUNE DI CASTIGLIONE A CASAURIA</t>
  </si>
  <si>
    <t>CF 81000190686</t>
  </si>
  <si>
    <t>CONTRIBUTO AUTONOMA SISTEMAZIONE (SETTEMBRE - DICEMBRE 2016)</t>
  </si>
  <si>
    <t>COMUNE DI PRATOLA PELIGNA</t>
  </si>
  <si>
    <t>CF 00017390667</t>
  </si>
  <si>
    <t>CONTRIBUTO AUTONOMA SISTEMAZIONE (FEBBRAIO - SETTEMBRE 2016)</t>
  </si>
  <si>
    <t>COMUNE DI SULMONA</t>
  </si>
  <si>
    <t>CF 00181820663</t>
  </si>
  <si>
    <t>CONTRIBUTO AUTONOMA SISTEMAZIONE (AGOSTO - NOVEMBRE 2016)</t>
  </si>
  <si>
    <t>COMUNE DI ALANNO</t>
  </si>
  <si>
    <t>CF 80013770682</t>
  </si>
  <si>
    <t>ACQUISIZIONE DOCUMENTAZIONE ATTA ALLA RENDICONTAZIONE DELLA SECONDA RATA E TRASFERIMENTO FONDI A TITOLO DI SALDO INERENTE ALLA SOSTITUZIONE EDILIZIA DEL COMPLESSO SCOLASTICO SITO IN ALANNO SCALO OSPITANTE LA SCUOLA MATERNA, ELEMENTARE E MEDIA - SCUOLA MEDIA, ELEMENTARE E MATERNA, VIA G. MATTEOTTI - INTERVENTO INDICATO AL N. 103 DELL'ALLEGATO AL D.C.D. N. 89/2011, CUP C33J13000440001 - CIG 63293221BF, PROTOCOLLO NORMALIZZATO PE-LNN-OOPP-01025 - COMUNE DI ALANNO (PE)</t>
  </si>
  <si>
    <t>EROGAZIONE FONDI PER INTERVENTI DI RICOSTRUZIONE PRIVATA COMUNI "FUORI CRATERE" EX DELIBERA CIPE 22/2015 DEL 20/02/2015 (GU 140 DEL 19/06/2015), DELIBERA CIPE 50/2013 DEL 02/08/2013 (GU 279 DEL 28/11/2013) E DELIBERA CIPE 135/2012 DEL 21/12/2012 (GU 63 DEL 13/03/2013) - COMUNE DI RAIANO (AQ)</t>
  </si>
  <si>
    <t>PROVINCIA DI PESCARA</t>
  </si>
  <si>
    <t>CF 00212850689</t>
  </si>
  <si>
    <t>ACQUISIZIONE DOCUMENTAZIONE ATTA ALLA RENDICONTAZIONE DELLA PRIMA RATA E TRASFERIMENTO SECONDA RATA - EDILIZIA SCOLASTICA - SCUOLE D'ABRUZZO - IL FUTURO IN SICUREZZA - "LAVORI DI CONSOLIDAMENTO DELL'ISTITUTO "VINCENZO BELLISARIO" DEL POLO ARTISTICO "MISTICONI-BELLISARIO" DI PESCARA</t>
  </si>
  <si>
    <t>ACQUISIZIONE DOCUMENTAZIONE ATTA ALLA RENDICONTAZIONE DEL PRIMO TRASFERIMENTO E SECONDO TRASFERIMENTO FONDI EDILIZIA SCOLASTICA - SCUOLE D'ABRUZZO - IL FUTURO IN SICUREZZA - "LAVORI DI CONSOLIDAMENTO DELL'I.T.C.G. "TITO ACERBO" DI PESCARA</t>
  </si>
  <si>
    <t>PROVINCIA DI TERAMO</t>
  </si>
  <si>
    <t>CF 80001070673</t>
  </si>
  <si>
    <t>APPROVAZIONE DEL PROGETTO PRELIMINARE E PRIMO TRASFERIMENTO FONDI PER ATTUAZIONE INTERVENTI IN MATERIA DI EDILIZIA SCOLASTICA. COMUNE DI NERETO (TE) - LICEO SCIENTIFICO INTERVENTO INDIVIDUATO AL N. 174 NELL'ALLEGATO AL D.C.D. N. 89/2011 CUP E34H14000010001 - PROTOCOLLO NORMALIZZATO TE-PROVTE-OOPP-04684</t>
  </si>
  <si>
    <t>COMUNE DI VITTORITO</t>
  </si>
  <si>
    <t>CF 83000790663</t>
  </si>
  <si>
    <t>EROGAZIONE FONDI PER INTERVENTI DI RICOSTRUZIONE PRIVATA COMUNI "FUORI CRATERE" EX DELIBERA CIPE 22/2015 DEL 20/02/2015 (GU 140 DEL 19/06/2015) E DELIBERA CIPE 50/2013 DEL 02/08/2013 (GU 279 DEL 28/11/2013) - DELIBERA CIPE 135/2012 DEL 21/12/2012 (GU 63 DEL 13/03/2013) COMUNE DI VITTORITO (AQ)</t>
  </si>
  <si>
    <t>CODFIN CIPE 135/2012 CIPE50/2013 CIPE22/2015</t>
  </si>
  <si>
    <t>COMUNE DI PICCIANO</t>
  </si>
  <si>
    <t>CF 00230400681</t>
  </si>
  <si>
    <t>ACQUISIZIONE DOCUMENTAZIONE ATTA ALLA RENDICONTAZIONE DELLA PRIMA RATA E DELL'ANTICIPAZIONE DELLA SECONDA RATA E TRASFERIMENTO FONDI PER LIQUIDAZIONE III SAL PER ATTUAZIONE INTERVENTI IN MATERIA DI EDILIZIA SCOLASTICA INTERVENTO DI SOSTITUZIONE EDILIZIA PER LA REALIZZAZIONE DELLA SCUOLA ELEMENTARE E PALESTRA. INTERVENTO INDIVIDUATO AL N.124 DELL'ALLEGATO AL D.C.D. N.89/2011, E AL N.107 DELL'ALLEGATO RIMODULATO APPROVATO CON DELIBERA N.85/2013. CUP: C56D09000070001 CIG: 60723559DC PROTOCOLLO NORMALIZZATO: PE-PCN-OOPP-01046 - COMUNE DI PICCIANO (PE)</t>
  </si>
  <si>
    <t>COMUNE DI ANVERSA DEGLI ABRUZZI</t>
  </si>
  <si>
    <t>CF 00161690664</t>
  </si>
  <si>
    <t>EROGAZIONE FONDI PER INTERVENTI DI RICOSTRUZIONE PRIVATA COMUNI "FUORI CRATERE" EX DELIBERA CIPE 22/2015 DEL 20/02/2015 (GU 140 DEL 19/06/2015) COMUNE DI ANVERSA DEGLI ABRUZZI (AQ)</t>
  </si>
  <si>
    <t>EROGAZIONE FONDI LIQUIDAZIONE COMPETENZE TECNICHE PER LAVORI DI RIPARAZIONE DANNI CAUSATI DAL SISMA DEL 06/04/2009 SU INFRASTRUTTURE PUBBLICHE COMUNALI - COMUNE DI ROCCA DI CAMBIO (AQ)</t>
  </si>
  <si>
    <t>COMUNE DI CASTEL DEL MONTE</t>
  </si>
  <si>
    <t>CF 80002030668</t>
  </si>
  <si>
    <t>EROGAZIONE II SAL PER L'INTERVENTO DI RIPARAZIONE DEI DANNI CONSEGUENTI AL SISMA DEL 6 APRILE 2009 RELATIVI AL MURO DI CONTENIMENTO DI VIALE DELLA VITTORIA - COMUNE DI CASTEL DEL MONTE (AQ)</t>
  </si>
  <si>
    <t>EROGAZIONE FONDI PER LIQUIDAZIONE SOMME CORRELATE AL "PROGETTO PRELIMINARE DI ADEGUAMENTO/MIGLIORAMENTO SISMICO DELL'EDIFICIO COMUNALE" E FINALIZZATE AL TRASLOCO ARREDI E ATTREZZATURE DALLA SEDE COMUNALE ALLA EX SCUOLA MEDIA E ADEGUAMENTO MINIMO DEI LOCALI E IMPIANTI NEL COMUNE DI COLLARMELE (AQ)</t>
  </si>
  <si>
    <t>EROGAZIONE SPESE DI PROGETTAZIONE E COORDINAMENTO SICUREZZA IN FASE DI PROGETTAZIONE - PROGETTO DEFINITIVO/ESECUTIVO "LAVORI DI RIPARAZIONE POST SISMA DELL'EX MATTATOIO COMUNALE DI SAN DEMETRIO NE VESTINI (AQ)"</t>
  </si>
  <si>
    <t>COMUNE DI PIETRANICO</t>
  </si>
  <si>
    <t>CF 00221280688</t>
  </si>
  <si>
    <t>EROGAZIONE FONDI SAL FINALE PER LAVORI DI MESSA IN SICUREZZA DI UN'AREA SITA IN VIA MAZZINI, VIA STORTA INDIVIDUATA AL FOGLIO N. 11 PARTICELLA N. 219. COMUNE DI PIETRANICO (PE)</t>
  </si>
  <si>
    <t>RENDICONTAZIONE TRASLOCO E DEPOSITO TEMPORANEO DEL MOBILIO (SETTEMBRE 2016)</t>
  </si>
  <si>
    <t>CODFIN CIPE135a1c1 CIPE78art1c1</t>
  </si>
  <si>
    <t>COMUNE DI CASTELVECCHIO CALVISIO</t>
  </si>
  <si>
    <t>CF 00197730666</t>
  </si>
  <si>
    <t>RENDICONTAZIONE TRASLOCO E DEPOSITO TEMPORANEO DEL MOBILIO (OTTOBRE 2016)</t>
  </si>
  <si>
    <t>COMUNE DI LUCOLI</t>
  </si>
  <si>
    <t>CF 00094420668</t>
  </si>
  <si>
    <t>RENDICONTAZIONE TRASLOCO E DEPOSITO TEMPORANEO DEL MOBILIO (2012-2016)</t>
  </si>
  <si>
    <t>COMUNE DI PIZZOLI</t>
  </si>
  <si>
    <t>CF 80007080668</t>
  </si>
  <si>
    <t>RENDICONTAZIONE TRASLOCO E DEPOSITO TEMPORANEO DEL MOBILIO (DICEMBRE 2016)</t>
  </si>
  <si>
    <t>RENDICONTAZIONE TRASLOCO E DEPOSITO TEMPORANEO DEL MOBILIO (NOVEMBRE, DICEMBRE 2016)</t>
  </si>
  <si>
    <t>COMUNE DI SANTO STEFANO DI SESSANIO</t>
  </si>
  <si>
    <t>CF 00173470667</t>
  </si>
  <si>
    <t>RENDICONTAZIONE TRASLOCO E DEPOSITO TEMPORANEO DEL MOBILIO (OTTOBRE 2015, APRILE 2016)</t>
  </si>
  <si>
    <t>COMUNE DI CASTEL DI SANGRO</t>
  </si>
  <si>
    <t>CF 82000330660</t>
  </si>
  <si>
    <t>RENDICONTAZIONE TRASLOCO E DEPOSITO TEMPORANEO DEL MOBILIO (AGOSTO 2016)</t>
  </si>
  <si>
    <t>COMUNE DI CIVITELLA CASANOVA</t>
  </si>
  <si>
    <t>CF 00228640686</t>
  </si>
  <si>
    <t>LIQUIDAZIONE I SAL PER PROGETTO "INTERVENTO DI ADEGUAMENTO STRUTTURALE E RISTRUTTURAZIONE DELLA CASA COMUNALE" - COMUNE DI CIVITELLA CASANOVA (PE)</t>
  </si>
  <si>
    <t>EROGAZIONE FONDI PER INTERVENTI DI RICOSTRUZIONE PRIVATA COMUNI "FUORI CRATERE" EX DELIBERA CIPE 22/2015 DEL 20/02/2015 (GU 140 DEL 19/06/2015) COMUNE DI BELLANTE (TE)</t>
  </si>
  <si>
    <t>EROGAZINE FONDI A TITOLO DI ANTICIPAZIONE DELL'IMPORTO DEI LAVORI E LIQUIDAZIONE PRESTAZIONI TECNICHE - PROGETTO DEFINITIVO- ESECUTIVO RELATIVO AI "LAVORI DI RIPRISTINO E MANUTENZIONE IMMOBILI DI EDILIZIA ECONOMICA E POPOLARE (ERP) IN VIA RIMEMBRANZA N.24" - COMUNE DI CIVITELLA CASANOVA (PE)</t>
  </si>
  <si>
    <t>COMUNE DI MONTEREALE</t>
  </si>
  <si>
    <t>CF 00096510664</t>
  </si>
  <si>
    <t>TRASFERIMENTO FONDI A VALERE SULLA DELIBERA CIPE 135/2012 INERENTI LA SOSTITUZIONE EDILIZIA DEL COMPLESSO SCOLASTICO SITO IN MONTEREALE CAPOLUOGO OSPITANTE LA SCUOLA ELEMENTARE E MEDIA - COMUNE DI MONTEREALE (AQ) - CUP I83D13000250005 DEL 28/11/2013 PROTOCOLLO NORMALIZZATO: AQ-MON-OOPP-04433</t>
  </si>
  <si>
    <t>COMUNE DI MONTORIO AL VOMANO</t>
  </si>
  <si>
    <t>CF 00580460673</t>
  </si>
  <si>
    <t>EROGAZIONE FONDI PER REDAZIONE PIANO DI RICOSTRUZIONE</t>
  </si>
  <si>
    <t>EROGAZIONE FONDI I SAL PER INTERVENTO DI MESSA IN SICUREZZA DEL MURO SITO IN VIA SANTA MARIA - BRITTOLI (PE)</t>
  </si>
  <si>
    <t>EROGAZIONE FONDI PER LIQUIDAZIONE III SAL CORRELATO AL PROGETTO DEFINITIVO RELATIVO ALL'INTERVENTO DI RECUPERO DI PALAZZO ALESI - COMUNE DI BUGNARA (AQ)</t>
  </si>
  <si>
    <t>COMUNE DI PIETRACAMELA</t>
  </si>
  <si>
    <t>CF 80005250677</t>
  </si>
  <si>
    <t>EROGAZIONE FONDI RELATIVI AL PROGETTO DEFINITIVO/ESECUTIVO DI RISANAMENTO STRUTTURALE E FUNZIONALE DELLA SEDE COMUNALE DI PIETRACAMELA (TE)</t>
  </si>
  <si>
    <t>COMUNE DI MANOPPELLO</t>
  </si>
  <si>
    <t>CF 81000530683</t>
  </si>
  <si>
    <t>EROGAZIONE FONDI PER INTERVENTI DI RICOSTRUZIONE PRIVATA COMUNI "FUORI CRATERE" EX DELIBERA CIPE 135/2012,CIPE 50/2013, CIPE 22/2015 - COMUNE DI MANOPPELLO (PE)</t>
  </si>
  <si>
    <t>CODFIN CIPE135/2012 CIPE50/2013 CIPE22/2015</t>
  </si>
  <si>
    <t>EROGAZIONE FONDI PER RIMBORSO ALLACCIO ENEL RELATIVO AI LAVORI DI ADEGUAMENTO DELLA MESSA IN SICUREZZA DEL FABBRICATO IN LOC. STIFFE FG.38, PART.85-86-243-244 - COMUNE DI SAN DEMETRIO NE' VESTINI (AQ)</t>
  </si>
  <si>
    <t>CODFIN CIPE135art1c1</t>
  </si>
  <si>
    <t>COMUNE DI PALOMBARO</t>
  </si>
  <si>
    <t>CF 00252920699</t>
  </si>
  <si>
    <t>ACQUISIZIONE DOCUMENTAZIONE ATTA ALLA RENDICONTAZIONE DELLA PRIMA RATA E TRASFERIMENTO FONDI PER ATTUAZIONE INTEVENTI IN MATERIA DI EDILIZIA SCOLASTICA - COMUNE DI PALOMBARO (CH) - " EDIFICIO SCOLASTICO - PALESTRA" INTERVENTO INDICATO AL N.97 DELL'ALLEGATO AL D.C.D. N.89/2011 CUP C21E13000220005 - CIG 611701721E - PROTOCOLLO NORMALIZZATO CH-PLB-OOPP-04769</t>
  </si>
  <si>
    <t>COMUNE DI NAVELLI</t>
  </si>
  <si>
    <t>CF 00188910665</t>
  </si>
  <si>
    <t>ACQUISIZIONE DOCUMENTAZIONE ATTA ALLA RENDICONTAZIONE DEL SECONDO TRASFERIMENTO FONDI E TERZO TRASFERIMENTO FONDI PER ATTUAZIONE INTERVENTI IN MATERIA DI EDILIZIA SCOLASTICA - SCUOLA ELEMENTARE - INTERVENTO INDIVIDUATO NELL'ALLEGATO AL D.C.D. N. 89/2011 - CUP H16B14000010001 - CIG 4669483345 PROTOCOLLO NORMALIZZATO AQ-NAV-OOPP-01428 COMUNE DI NAVELLI</t>
  </si>
  <si>
    <t>EROGAZIONE FONDI PER INTERVENTI DI RICOSTRUZIONE PRIVATA COMUNI "FUORI CRATERE" EX DELIBERA CIPE 22/2015 DEL 20/02/2015 (GU 140 DEL 19/06/2015) - COMUNE DI ALANNO (PE)</t>
  </si>
  <si>
    <t>EROGAZIONE FONDI FINALIZZATI ALLA LIQUIDAZIONE DEI LAVORI DI ASSISTENZA ARCHEOLOGICA LAVORI RINVENIMENTI ARCHEOLOGICI C/O CANTIERE DENOMINATO AGGREGATO EDILIZIO "CONSORZIO OSTERIA - PETROCCO" DANNEGGIATO DAL SISMA DEL 06 APRILE 2009.</t>
  </si>
  <si>
    <t>COMUNE DI TURRIVALIGNANI</t>
  </si>
  <si>
    <t>CF 00224700682</t>
  </si>
  <si>
    <t>EROGAZIONE FONDI PER INTERVENTI DI RICOSTRUZIONE PRIVATA COMUNI "FUORI CRATERE" EX DELIBERA CIPE 22/2015 DEL 20/02/2015 (GU 140 DEL 19/06/2015) - COMUNE DI TURRIVALIGNANI (PE)</t>
  </si>
  <si>
    <t>COMUNE DI ROSCIANO</t>
  </si>
  <si>
    <t>CF 00223210683</t>
  </si>
  <si>
    <t>EROGAZIONE FONDI PER INTERVENTI DI RICOSTRUZIONE PRIVATA COMUNI "FUORI CRATERE" EX DELIBERA CIPE 22/2015 DEL 20/02/2015 (GU 140 DEL 19/06/2015) - COMUNE DI ROSCIANO (PE)</t>
  </si>
  <si>
    <t>EROGAZIONE RISORSE FINALIZZATE ALLA RICOSTRUZIONE PRIVATA EX DELIBERA CIPE 23/2014 E DELIBERA CIPE 22/2015 - COMUNE DI CASTEL DEL MONTE (AQ)</t>
  </si>
  <si>
    <t>CODFIN CIPE 135/2012 CIPE23/2014 CIPE22/2015</t>
  </si>
  <si>
    <t>COMUNE DI CAMPOTOSTO</t>
  </si>
  <si>
    <t>CF 00085160661</t>
  </si>
  <si>
    <t>EROGAZIONE RISORSE FINALIZZATE ALLA RICOSTRUZIONE PRIVATA EX DELIBERA CIPE 135/2012, 23/2014 E DELIBERA CIPE 22/2015 - COMUNE DI CAMPOTOSTO (AQ)</t>
  </si>
  <si>
    <t>EROGAZIONE FONDI PER INTERVENTI DI RICOSTRUZIONE PRIVATA COMUNI "FUORI CRATERE" EX DELIBERA CIPE 135/2012 DEL 21/12/2012 (GU 63 DEL 15/03/2013), DELIBERA CIPE 50/2013 DEL 02/08/2013 (GU 279 DEL 28/11/2013) E DELIBERA CIPE 22/2015 DEL 20/02/2015 (GU 140 DEL 19/06/2015) COMUNE DI CASTIGLIONE A CASAURIA (PE)</t>
  </si>
  <si>
    <t>LOCAZIONE TEMPORANEA ALLOGGI (APRILE -NOVEMBRE 2016)</t>
  </si>
  <si>
    <t>CODFIN CIPE135a1c1</t>
  </si>
  <si>
    <t>LOCAZIONE TEMPORANEA ALLOGGI (APRILE 2015 - OTTOBRE 2016)</t>
  </si>
  <si>
    <t>LOCAZIONE TEMPORANEA ALLOGGI (OTTOBRE, NOVEMBRE 2016)</t>
  </si>
  <si>
    <t>COMUNE DI OVINDOLI</t>
  </si>
  <si>
    <t>CF 00097320667</t>
  </si>
  <si>
    <t>LOCAZIONE TEMPORANEA ALLOGGI (NOVEMBRE,DICEMBRE 2016)</t>
  </si>
  <si>
    <t>LOCAZIONE TEMPORANEA ALLOGGI (AGOSTO - NOVEMBRE 2016)</t>
  </si>
  <si>
    <t>COMUNE DI TERAMO</t>
  </si>
  <si>
    <t>CF 00174750679</t>
  </si>
  <si>
    <t>EROGAZIONE FONDI PER INTERVENTI DI RICOSTRUZIONE PRIVATA COMUNI "FUORI CRATERE" EX DELIBERA CIPE 135/2012, CIPE 50/2013, CIPE 22/2015 - COMUNE DI TERAMO (TE)</t>
  </si>
  <si>
    <t>LIQUIDAZIONE CORRISPETTIVO RUP RELATIVO ALL'INTERVENTO DI RIPARAZIONE DEI DANNI CONSEGUENTI AL SISMA DEL 06/04/2009 SUBITI DALL'EDIFICIO PUBBLICO CON FUNZIONE STRATEGICA SITO NEL COMUNE DI CAPITIGNANO (AQ)</t>
  </si>
  <si>
    <t>EROGAZIONE FONDI PER SALDO LAVORI E SPESE TECNICHE CORRELATI AL PROGETTO PER LE OPERE DI MESSA IN SICUREZZA DELLA CHIESA DI SAN BIAGIO, VIA DEL PROGRESSO GIA' INAGIBILE DAL SISMA 2009, DANNEGGIATA DAGLI EVENTI ATMOSFERICI DEL 1 E 2 DICEMBRE 2013 - COMUNE DI BUSSI SUL TIRINO (PE).</t>
  </si>
  <si>
    <t>EROGAZIONE FONDI PER LIQUIDAZIONE SOMME PER SALDO LAVORI E SPESE TECNICHE RELATIVI AL PROGETTO DEFINITIVO ESECUTIVO "LAVORI INTEGRATIVI E COMPLEMENTARI ALLE OPERE DI MESSA IN SICUREZZA DELLA CHIESA DI SAN BIAGIO, VIA DEL PROGRESSO, GIA' INAGIBILE DAL SISMA 2009, DANNEGGIATA DAGLI EVENTI ATMOSFERICI DEL 1 E 2 DICEMBRE 2013." - COMUNE DI BUSSI SUL TIRINO (PE).</t>
  </si>
  <si>
    <t>COMUNE DI ROCCACASALE</t>
  </si>
  <si>
    <t>CF 83000550661</t>
  </si>
  <si>
    <t>EROGAZIONE FONDI PER IV SAL RELATIVO AI LAVORI DI MESSA IN SICUREZZA DEI MURI DI CONTENIMENTO - COMUNE DI ROCCACASALE (AQ)</t>
  </si>
  <si>
    <t>EROGAZIONE RISORSE FINALIZZATE ALLA RICOSTRUZIONE PRIVATA EX DELIBERA CIPE 135/2012, CIPE 23/2014 E DELIBERA CIPE 22/2015 - COMUNE DI SANT'EUSANIO FORCONESE (AQ)</t>
  </si>
  <si>
    <t>COMUNE DI TIONE DEGLI ABRUZZI</t>
  </si>
  <si>
    <t>CF 00189270663</t>
  </si>
  <si>
    <t>EROGAZIONE RISORSE FINALIZZATE ALLA RICOSTRUZIONE PRIVATA EX DELIBERA CIPE 23/2014 E DELIBERA CIPE 22/2015 - COMUNE DI TIONE DEGLI ABRUZZI (AQ)</t>
  </si>
  <si>
    <t>COMUNE DI OCRE</t>
  </si>
  <si>
    <t>CF 80002850669</t>
  </si>
  <si>
    <t>EROGAZIONE II SAL RELATIVO AL PROGETTO ESECUTIVO DI RIPARAZIONE DANNI E RAFFORZAMENTO SISMICO DELLA SEDE DELLA CASA COMUNALE - EX EDIFICIO SCOLASTICO - NELLA FRAZIONE DI SAN PANFILO D'OCRE - COMUNE DI OCRE (AQ)</t>
  </si>
  <si>
    <t>COMUNE DI VILLA SANTA LUCIA DEGLI ABRUZZI</t>
  </si>
  <si>
    <t>CF 00193560661</t>
  </si>
  <si>
    <t>EROGAZIONE SOMME PER SALDO SPESE TECNICHE COLLAUDATORE IN C.A. CORRELATE AL PROGETTO DEFINITIVO/ESECUTIVO PER INTERVENTO DI RIPARAZIONE DEI CIMITERI COMUNALI DI VILLA SANTA LUCIA DEGLI ABRUZZI (AQ)</t>
  </si>
  <si>
    <t>EROGAZIONE RISORSE FINALIZZATE ALLA RICOSTRUZIONE PRIVATA EX DELIBERA 23/2014 E DELIBERA CIPE 22/2015 - COMUNE DI PIZZOLI (AQ)</t>
  </si>
  <si>
    <t>LIQUIDAZIONE SAL FINALE RELATIVO AD INTERVENTI URGENTI DI MESSA IN SICUREZZA DI VIA MADONNA DELLE GROTTE - COMUNE DI FOSSA (AQ)</t>
  </si>
  <si>
    <t>COMUNE DI GORIANO SICOLI</t>
  </si>
  <si>
    <t>CF 00218000669</t>
  </si>
  <si>
    <t>LIQUIDAZIONE SOMME A SALDO PROGETTO DEFINITIVO-ESECUTIVO PER INTERVENTO POST-SISMA SU UN EDIFICIO ADIBITO AD ABITAZIONE (ESITO DI AGIBILITÀ "B") SITO IN VIA ROMA FG.7, PART. 1641, SUB 2-3 COMUNE DI GORIANO SICOLI (AQ).- COMPLETAMENTO AI LAVORI DEL I E II LOTTO</t>
  </si>
  <si>
    <t>EROGAZIONE STATO FINALE, COMPETENZE TECNICO INCARICATO, RUP CORRELATI AL PROGETTO DEFINITIVO-ESECUTIVO RELATIVO AGLI INTERVENTI DI RIPARAZIONE DI EDIFICIO ADIBITO AD ABITAZIONE CON ESITO AGIBILITÀ "B" SITO IN VIA ROMA - COMUNE DI GORIANO SICOLI (AQ) - I LOTTO</t>
  </si>
  <si>
    <t>TRASFERIMENTO FONDI A SALDO DELLE SPESE TECNICHE PER LAVORI DI MANUTENZIONE ORDINARIA E STRAORDINARIA DEI PUNTELLAMENTI REALIZZATI NEL COMUNE DI SANTO STEFANO DI SESSANIO A SEGUITO DEL SISMA DEL 06.04.09 - COMUNE DI SANTO STEFANO DI SESSANIO (AQ)</t>
  </si>
  <si>
    <t>EROGAZIONE SOMME A SALDO PER ESECUZIONE DI INTERVENTI DI MESSA IN SICUREZZA NELLA GESTIONE ORDINARIA - POST SISMA - DEMOLIZIONE FABBRICATO VIA DE CESARIS FG.5 PART.906 - COMUNE DI TIONE DEGLI ABRUZZI (AQ)</t>
  </si>
  <si>
    <t>LIQUIDAZIONE FINALE DEI LAVORI DI RIPARAZIONE MURO ADIACENTE DEPOSITO E MURO IN VIA RISORGIMENTO SITI NEL COMUNE DI VILLA SANTA LUCIA DEGLI ABRUZZI (AQ)</t>
  </si>
  <si>
    <t>LIQUIDAZIONE I SAL LAVORI DI RIPRISTINO E MANUTENZIONE IMMOBILI DI EDILIZIA ECONOMICA E POPOLARE (ERP) IN VIA RIMEMBRANZA N.24 - COMUNE DI CIVITELLA CASANOVA (PE)</t>
  </si>
  <si>
    <t>COMUNE BUSSI SUL TIRINO</t>
  </si>
  <si>
    <t>CONTRIBUTO AUTONOMA SISTEMAZIONE (APRILE-MAGGIO 2016)</t>
  </si>
  <si>
    <t>CONTRIBUTO AUTONOMA SISTEMAZIONE (NOVEMBRE-DICEMBRE 2016;GENNAIO-FEBBRAIO 2017 )</t>
  </si>
  <si>
    <t>CONTRIBUTO AUTONOMA SISTEMAZIONE (NOVEMBRE 2015-OTTOBRE 2016 )</t>
  </si>
  <si>
    <t>CONTRIBUTO AUTONOMA SISTEMAZIONE (LUGLIO-DICEMBRE 2016 )</t>
  </si>
  <si>
    <t>CONTRIBUTO AUTONOMA SISTEMAZIONE (OTTOBRE 2009-SETTEMBRE 2015;DICEMBRE 2016,GENNAIO 2017)</t>
  </si>
  <si>
    <t>CONTRIBUTO AUTONOMA SISTEMAZIONE (GENNAIO 2011-MAGGIO 2015)</t>
  </si>
  <si>
    <t>CONTRIBUTO AUTONOMA SISTEMAZIONE (DICEMBRE 2016,FEBBRAIO 2017)</t>
  </si>
  <si>
    <t>CONTRIBUTO AUTONOMA SISTEMAZIONE (SETTEMBRE 2010-GIUGNO 2014)</t>
  </si>
  <si>
    <t>CONTRIBUTO AUTONOMA SISTEMAZIONE (OTTOBRE-DICEMBRE 2016)</t>
  </si>
  <si>
    <t>COMUNE DI SAN DEMETRIO NE VESTINI</t>
  </si>
  <si>
    <t>CONTRIBUTO AUTONOMA SISTEMAZIONE (GENNAIO 2017)</t>
  </si>
  <si>
    <t>COMUNE DI TORRE DE' PASSERI</t>
  </si>
  <si>
    <t>CF 00192970689</t>
  </si>
  <si>
    <t>COMUNE DI ATRI</t>
  </si>
  <si>
    <t>CF 00076610674</t>
  </si>
  <si>
    <t>CONTRIBUTO AUTONOMA SISTEMAZIONE (LUGLIO - DICEMBRE 2016)</t>
  </si>
  <si>
    <t>COMUNE DI BASCIANO</t>
  </si>
  <si>
    <t>CF 80002910679</t>
  </si>
  <si>
    <t>CONTRIBUTO AUTONOMA SISTEMAZIONE (OTTOBRE - DICEMBRE 2016)</t>
  </si>
  <si>
    <t>COMUNE DI MASSA D'ALBE</t>
  </si>
  <si>
    <t>PI 00187170667</t>
  </si>
  <si>
    <t>CONTRIBUTO AUTONOMA SISTEMAZIONE (NOVEMBRE 2015 - GIUGNO 2016)</t>
  </si>
  <si>
    <t>COMUNE DI PENNE</t>
  </si>
  <si>
    <t>CF 00224710681</t>
  </si>
  <si>
    <t>CONTRIBUTO AUTONOMA SISTEMAZIONE (OTTOBRE 2016 - GENNAIO 2017)</t>
  </si>
  <si>
    <t>COMUNE DI PIERTANICO</t>
  </si>
  <si>
    <t>CONTRIBUTO AUTONOMA SISTEMAZIONE (NOVEMBRE-DICEMBRE 2016; GENNAIO-FEBBARIO 2017)</t>
  </si>
  <si>
    <t>CONTRIBUTO AUTONOMA SISTEMAZIONE (GIUGNO-OTTOBRE 2016)</t>
  </si>
  <si>
    <t>COMUNE DI TOCCO DA CASAURIA</t>
  </si>
  <si>
    <t>CF 00231830688</t>
  </si>
  <si>
    <t>CONTRIBUTO AUTONOMA SISTEMAZIONE (LUGLIO-DICEMBRE 2016;GENNAIO-FEBBRAIO 2017)</t>
  </si>
  <si>
    <t>COMUNE DI ELICE</t>
  </si>
  <si>
    <t>CF 00221990682</t>
  </si>
  <si>
    <t>EROGAZIONE FONDI PER INTERVENTI DI RICOSTRUZIONE PRIVATA COMUNI "FUORI CRATERE" EX DELIBERA CIPE 22/2015 DEL 20/02/2015 (GU 140 DEL 19/06/2015) - COMUNE DI ELICE (PE)</t>
  </si>
  <si>
    <t>COMUNE DI LORETO APRUTINO</t>
  </si>
  <si>
    <t>CF 00127900686</t>
  </si>
  <si>
    <t>EROGAZIONE FONDI PER INTERVENTI DI RICOSTRUZIONE PRIVATA COMUNI "FUORI CRATERE" EX DELIBERA CIPE 22/2015 DEL 20/02/2015 (GU 140 DEL 19/06/2015) - COMUNE DI LORETO APRUTINO (PE)</t>
  </si>
  <si>
    <t>COMUNE DI PENNA SANT'ANDREA</t>
  </si>
  <si>
    <t>CF 80005210671</t>
  </si>
  <si>
    <t>EROGAZIONE RISORSE FINALIZZATE ALLA RICOSTRUZIONE PRIVATA EX DELIBERA 135/2012, CIPE 23/2014 E DELIBERA CIPE 22/2015 - COMUNE DI PENNA SANT'ANDREA (TE)</t>
  </si>
  <si>
    <t>TRASFERIMENTO FONDI A VALERE SULLA DELIBERA CIPE 135/2012 INERENTI LA SOSTITUZIONE EDILIZIA DEL COMPLESSO SCOLASTICO SITO IN MONTEREALE CAPOLUOGO OSPITANTE LA SCUOLA ELEMENTARE E MEDIA IV SAL - COMUNE DI MONTEREALE (AQ) - CUP I83D13000250005 DEL 28/11/2013, PROTOCOLLO NORMALIZZATO : AQ-MON-OOPP-04433</t>
  </si>
  <si>
    <t>EROGAZIONE FONDI PER LIQUIDAZIONE III SAL RELATIVO AL PROGETTO DEFINITIVO/ESECUTIVO DI LAVORI DI REALIZZAZIONE DI UN CENTRO POLIFUNZIONALE MEDIANTE RICONVERSIONE EX MATTATOIO - COMUNE DI MONTEBELLO DI BERTONA (PE)</t>
  </si>
  <si>
    <t>EROGAZIONE FONDI PER LIQUIDAZIONE INDAGINI GEOLOGICHE E GEOTECNICHE CORRELATE AL PROGETTO DEFINITIVO-ESECUTIVO RELATIVO ALL'ADEGUAMENTO/MIGLIORAMENTO SISMICO DI CAPPELLA CIMITERIALE - COMUNE DI COLLARMELE (AQ)</t>
  </si>
  <si>
    <t>EROGAZIONE FONDI PER LIQUIDAZIONE INDAGINI SU ELEMENTI STRUTTURALI CORRELATE AL PROGETTO DEFINITIVO-ESECUTIVO RELATIVO ALL'ADEGUAMENTO/MIGLIORAMENTO SISMICO DI CAPPELLA CIMITERIALE - COMUNE DI COLLARMELE (AQ)</t>
  </si>
  <si>
    <t>EROGAZIONE FONDI PER LAVORI DI MANUTENZIONE STRAORDINARIA MAP 1, 4, 8 - COMUNE DI MONTEBELLO DI BERTONA (PE)</t>
  </si>
  <si>
    <t>EROGAZIONE FONDI ATTI ALLA LIQUIDAZIONE DEGLI EMOLUMENTI SPETTANTI PER LA PROROGA DEI CONTRATTI DEL PERSONALE A TEMPO DETERMINATO IN AVVALIMENTO PRESSO L'UFFICIO SPECIALE PER LA RICOSTRUZIONE DEI COMUNI DEL CRATERE</t>
  </si>
  <si>
    <t>CODFIN CIPE113art4c1</t>
  </si>
  <si>
    <t>COMUNE DI ORTUCCHIO</t>
  </si>
  <si>
    <t>CF 00212110662</t>
  </si>
  <si>
    <t>APPROVAZIONE DEL PROGETTO E PRIMO TRASFERIMENTO FONDI PER ATTUAZIONE INTERVENTI IN MATERIA DI EDILIZIA SCOLASTICA - SCUOLA PRIMARIA SECONDARIA DI I° GRADO ED ASILO INTERVENTO INDIVIDUATO NELL'ALLEGATO AL D.C.D. N.89/2011 CUP G71E11000120001 - CIG 62794806D2. PROTOCOLLO NORMALIZZATO AQ-ORU-OOPP-04736 - COMUNE DI ORTUCCHIO (AQ)</t>
  </si>
  <si>
    <t>APPROVAZIONE PROGETTO DEFINITIVO-ESECUTIVO ED EROGAZIONE FONDI PRIMA RATA INTERVENTO DI EDILIZIA SCOLASTICA PROVINCIA DI TERAMO (TE). LICEO SCIENTIFICO "EINSTEIN". INTERVENTO INDIVIDUATO NELL'ALLEGATO AL D.C.D. N.89/2011 N.147. CUP E44H14000060001 - PROTOCOLLO NORMALIZZATO TE-PROVTE-OOPP-04682</t>
  </si>
  <si>
    <t>COMUNE DI VILLA SANT'ANGELO</t>
  </si>
  <si>
    <t>CF 80002590661</t>
  </si>
  <si>
    <t>EROGAZIONE FONDI PER SALDO INTERVENTO DI RIPRISTINO AREE CIMITERIALI DANNEGGIATE DAL SISMA DEL 06/04/2009 LAVORI DI COMPLETAMENTO CIMITERO DI VILLA SANT'ANGELO - COMUNE DI VILLA SANT'ANGELO (AQ)</t>
  </si>
  <si>
    <t>EROGAZIONE RISORSE FINALIZZATE ALLA RICOSTRUZIONE PRIVATA EX DELIBERA CIPE 23/2014, E DELIBERA CIPE 22/2015 - COMUNE DI BUGNARA (AQ)</t>
  </si>
  <si>
    <t>CODFIN CIPE22/2015 CIPE23/2014</t>
  </si>
  <si>
    <t>EROGAZIONE RISORSE FINALIZZATE ALLA RICOSTRUZIONE PRIVATA EX DELIBERA CIPE 23/2014, E DELIBERA CIPE 22/2015 - COMUNE DI TORRE DE' PASSERI (PE)</t>
  </si>
  <si>
    <t>CODFIN CIPE22/2015 CIPE135/2012</t>
  </si>
  <si>
    <t>COMUNE DI CUGNOLI</t>
  </si>
  <si>
    <t>CF 80003250687</t>
  </si>
  <si>
    <t>EROGAZIONE RISORSE FINALIZZATE ALLA RICOSTRUZIONE PRIVATA EX DELIBERA CIPE 23/2014, E DELIBERA CIPE 22/2015 - COMUNE DI CUGNOLI (PE)</t>
  </si>
  <si>
    <t>COMUNE DI FARINDOLA</t>
  </si>
  <si>
    <t>CF 00231350687</t>
  </si>
  <si>
    <t>EROGAZIONE FONDI PER INTERVENTI DI RICOSTRUZIONE PRIVATA COMUNI "FUORI CRATERE" EX DELIBERA CIPE 135/2012 DEL 21/12/2012 (GU 63 DEL 15/03/2013), DELIBERA CIPE 50/2013 DEL 02/08/2013 (GU 279 DEL 28/11/2013) E DELIBERA CIPE 22/2015 DEL 20/02/2015 (GU 140 DEL 19/06/2015) COMUNE DI FARINDOLA (PE)</t>
  </si>
  <si>
    <t>EROGAZIONE RISORSE FINALIZZATE ALLA RICOSTRUZIONE PRIVATA EX DELIBERA CIPE 23/2014, E DELIBERA CIPE 22/2015 - COMUNE DI NAVELLI (AQ)</t>
  </si>
  <si>
    <t>CODFIN CIPE23/2014</t>
  </si>
  <si>
    <t>EROGAZIONE RISORSE FINALIZZATE ALLA RICOSTRUZIONE PRIVATA EX DELIBERA CIPE 135/2012, 23/2014, E DELIBERA CIPE 22/2015 - COMUNE DI ROCCA DI MEZZO (AQ)</t>
  </si>
  <si>
    <t>CODFIN CIPE135/2012 CIPE23/2014</t>
  </si>
  <si>
    <t>RENDICONTAZIONE TRASLOCO E DEPOSITO TEMPORANEO DEL MOBILIO (LUGLIO 2016)</t>
  </si>
  <si>
    <t>COMUNE DI BARISCIANO</t>
  </si>
  <si>
    <t>CF 00195850664</t>
  </si>
  <si>
    <t>RENDICONTAZIONE TRASLOCO E DEPOSITO TEMPORANEO DEL MOBILIO (OTTOBRE - DICEMBRE 2016)</t>
  </si>
  <si>
    <t>RENDICONTAZIONE TRASLOCO E DEPOSITO TEMPORANEO DEL MOBILIO (MARZO E APRILE 2017)</t>
  </si>
  <si>
    <t>COMUNE DI CASTEL DI IERI</t>
  </si>
  <si>
    <t>CF 00235390663</t>
  </si>
  <si>
    <t>RENDICONTAZIONE TRASLOCO E DEPOSITO TEMPORANEO DEL MOBILIO (DICEMBRE 2016 - GENNAIO 2017)</t>
  </si>
  <si>
    <t>RENDICONTAZIONE TRASLOCO E DEPOSITO TEMPORANEO DEL MOBILIO (SETTEMBRE E DICEMBRE 2016, GENNAIO 2017)</t>
  </si>
  <si>
    <t>RENDICONTAZIONE TRASLOCO E DEPOSITO TEMPORANEO DEL MOBILIO (FEBBRAIO 2017)</t>
  </si>
  <si>
    <t>RENDICONTAZIONE TRASLOCO E DEPOSITO TEMPORANEO DEL MOBILIO (DICEMBRE 2016, GENNAIO E MARZO 2017)</t>
  </si>
  <si>
    <t>RENDICONTAZIONE TRASLOCO E DEPOSITO TEMPORANEO DEL MOBILIO (MARZO 2017)</t>
  </si>
  <si>
    <t>RENDICONTAZIONE TRASLOCO E DEPOSITO TEMPORANEO DEL MOBILIO (GIUGNO 2016, MARZO 2017)</t>
  </si>
  <si>
    <t>DETERMINA N. 278 DEL 02/05/2017</t>
  </si>
  <si>
    <t>RENDICONTAZIONE TRASLOCO E DEPOSITO TEMPORANEO DEL MOBILIO (AGOSTO E SETTEMBRE 2016)</t>
  </si>
  <si>
    <t>EROGAZIONE FONDI III SAL CORRELATI AL PROGETTO DEFINITIVO RELATIVO ALL'INTERVENTO DI MESSA IN SICUREZZA NELLA GESTIONE ORDINARIA POST SISMA - COMUNE DI ACCIANO E FRAZIONI DI SUCCIANO E ROCCAPRETURO (AQ)</t>
  </si>
  <si>
    <t>EROGAZIONE FONDI PER LIQUIDAZIONE III SAL CORRELATO AL PROGETTO DEFINITIVO-ESECUTIVO RELATIVO ALL'INTERVENTO DI ADEGUAMENTO STRUTTURALE E RISTRUTTURAZIONE DELLA CASA COMUNALE - COMUNE DI CIVITELLA CASANOVA (PE)</t>
  </si>
  <si>
    <t>EROGAZIONE FONDI A TITOLO DI SECONDO ACCONTO I SAL, RELATIVO AL PROGETTO DEFINITIVO DI RIPARAZIONE DANNI A SEGUITO DEGLI EVENTI SISMICI DEL 06/04/2009 E RISTRUTTURAZIONE CON MIGLIORAMENTO SISMICO DELL'EDIFICIO SEDE COMUNALE - COMUNE DI BARISCIANO (AQ)</t>
  </si>
  <si>
    <t>EROGAZIONE RISORSE FINALIZZATE ALLA RICOSTRUZIONE PRIVATA EX DELIBERA CIPE 23/2014, E DELIBERA CIPE 22/2015 - COMUNE DI VILLA SANT'ANGELO (AQ)</t>
  </si>
  <si>
    <t>CODFIN CIPE 23/2014 135/2012</t>
  </si>
  <si>
    <t>EROGAZIONE FONDI A TITOLO DI ACCONTO RELATIVO AL PROGETTO DEFINITIVO-ESECUTIVO DI REALIZZAZIONE INTERVENTI PRIORITARI E NECESSARI PER ASSICURARE L'ACCESSIBILITÀ E LA FUNZIONALITÀ DELLE STRUTTURE CIMITERIALI DEL COMUNE DI COCULLO (AQ)</t>
  </si>
  <si>
    <t>TRASFERIMENTO FONDI A VALERE SULLA DELIBERA CIPE 135/2012 INERENTI LA SOSTITUZIONE EDILIZIA DEL COMPLESSO SCOLASTICO SITO IN MONTEREALE CAPOLUOGO OSPITANTE LA SCUOLA ELEMENTARE E MEDIA VII SAL - COMUNE DI MONTEREALE (AQ) - CUP I83D13000250005 DEL 28/11/2013, PROTOCOLLO NORMALIZZATO : AQ-MON-OOPP-04433</t>
  </si>
  <si>
    <t>ERRATA CORRIGE DETERMINA N.285 DEL 03/05/2017 "EROGAZIONE FONDI A TITOLO DI ACCONTO RELATIVO AL PROGETTO DEFINITIVO-ESECUTIVO DI REALIZZAZIONE INTERVENTI PRIORITARI E NECESSARI PER ASSICURARE L'ACCESSIBILITÀ E LA FUNZIONALITÀ DELLE STRUTTURE CIMITERIALI DEL COMUNE DI COCULLO (AQ)"</t>
  </si>
  <si>
    <t>EROGAZIONE FONDI PER INTERVENTI DI RICOSTRUZIONE PRIVATA COMUNI "FUORI CRATERE" DELIBERA CIPE 22/2015 DEL 20/02/2015 (GU 140 DEL 19/06/2015) COMUNE DI ANVERSA DEGLI ABRUZZI (AQ)</t>
  </si>
  <si>
    <t>COMUNE DI PESCARA</t>
  </si>
  <si>
    <t>CF 00124600685</t>
  </si>
  <si>
    <t>EROGAZIONE FONDI PER INTERVENTI DI RICOSTRUZIONE PRIVATA COMUNI "FUORI CRATERE" EX DELIBERA CIPE 22/2015 DEL 20/02/2015 (GU 140 DEL 19/06/2015) COMUNE DI PESCARA (PE)</t>
  </si>
  <si>
    <t>EROGAZIONE FONDI PER INTERVENTI DI RICOSTRUZIONE PRIVATA COMUNI "FUORI CRATERE" EX DELIBERA CIPE 22/2015 DEL 20/02/2015 (GU 140 DEL 19/06/2015) - COMUNE DI TOCCO DA CASAURIA (PE)</t>
  </si>
  <si>
    <t>CODFIN CIPE 50/2013 CIPE 22/2015</t>
  </si>
  <si>
    <t>EROGAZIONE FONDI PER INTERVENTI DI RICOSTRUZIONE PRIVATA COMUNI "FUORI CRATERE" EX DELIBERA CIPE 135/2012 DEL 21/12/2012 (GU 63 DEL 13/03/2013) E CIPE 22/2015 DEL 20/02/2015 (GU 140 DEL 19/06/2015) COMUNE DI COLLEPIETRO (AQ)</t>
  </si>
  <si>
    <t>ASM SPA</t>
  </si>
  <si>
    <t>PI 01413740661</t>
  </si>
  <si>
    <t>EROGAZIONE FONDI A FAVORE DELLA ASM SPA- CANTIERE COMUNE SAN PIO DELLE CAMERE - FRAZ.CASTELNUOVO - CONVENZIONE REP/USRC N. 01 DEL 15/04/2015 E N. 2 DEL 10/10/2016</t>
  </si>
  <si>
    <t>CODFIN CIPE78art1c1</t>
  </si>
  <si>
    <t>COMUNE DI CARAPELLE CALVISIO</t>
  </si>
  <si>
    <t>CF 00197710668</t>
  </si>
  <si>
    <t>EROGAZIONE RISORSE FINALIZZATE ALLA RICOSTRUZIONE PRIVATA EX DELIBERA CIPE 23/2014, E DELIBERA CIPE 22/2015 - COMUNE DI CARAPELLE CALVISIO (AQ)</t>
  </si>
  <si>
    <t>EROGAZIONE RISORSE FINALIZZATE ALLA RICOSTRUZIONE PRIVATA EX DELIBERA CIPE 23/2014, E DELIBERA CIPE 22/2015 - COMUNE DI CAPESTRANO (AQ)</t>
  </si>
  <si>
    <t>CODFIN CIPE 23/2014</t>
  </si>
  <si>
    <t>EROGAZIONE RISORSE FINALIZZATE ALLA RICOSTRUZIONE PRIVATA EX DELIBERA CIPE 23/2014, E DELIBERA CIPE 22/2015 - COMUNE DI LUCOLI (AQ)</t>
  </si>
  <si>
    <t>CODFIN CIPE23/2014 CIP135/2012</t>
  </si>
  <si>
    <t>EROGAZIONE RISORSE FINALIZZATE ALLA RICOSTRUZIONE PRIVATA EX DELIBERA CIPE 23/2014, E DELIBERA CIPE 22/2015 - COMUNE DI POPOLI (PE)</t>
  </si>
  <si>
    <t>CONTRIBUTO AUTONOMA SISTEMAZIONE (OTTOBRE - NOVEMBRE - DICEMBRE 2016 / GENNAIO - FEBBRAIO - MARZO 2017)</t>
  </si>
  <si>
    <t>CODFIN CIPE78a1c1</t>
  </si>
  <si>
    <t>CONTRIBUTO AUTONOMA SISTEMAZIONE (GENNAIO - FEBBRAIO 2017)</t>
  </si>
  <si>
    <t>CONTRIBUTO AUTONOMA SISTEMAZIONE (GIUGNO 2016 - LUGLIO 2016)</t>
  </si>
  <si>
    <t>CONTRIBUTO AUTONOMA SISTEMAZIONE (MARZO 2017 )</t>
  </si>
  <si>
    <t>CONTRIBUTO AUTONOMA SISTEMAZIONE (SETTEMBRE - DICEMBRE 2016 )</t>
  </si>
  <si>
    <t>CONTRIBUTO AUTONOMA SISTEMAZIONE (OTTOBRE - NOVEMBRE -DICEMBRE 2016 )</t>
  </si>
  <si>
    <t>COMUNE DI CAGNANO AMITERNO</t>
  </si>
  <si>
    <t>CF 80003670660</t>
  </si>
  <si>
    <t>CONTRIBUTO AUTONOMA SISTEMAZIONE (OTTOBRE 2016 - MARZO 2017)</t>
  </si>
  <si>
    <t>CONTRIBUTO AUTONOMA SISTEMAZIONE (FEBBRAIO - MARZO 2017)</t>
  </si>
  <si>
    <t>COFIN CIPE78a1c1</t>
  </si>
  <si>
    <t>CONTRIBUTO AUTONOMA SISTEMAZIONE (DICEMBRE 2016 - FEBBRAIO 2017)</t>
  </si>
  <si>
    <t>CONTRIBUTO AUTONOMA SISTEMAZIONE (GENNAIO E MARZO 2017)</t>
  </si>
  <si>
    <t>CONTRIBUTO AUTONOMA SISTEMAZIONE (GENNAIO - FEBBRAIO 2017 )</t>
  </si>
  <si>
    <t>CONTRIBUTO AUTONOMA SISTEMAZIONE (FEBBRAIO 2017 - MARZO 2017)</t>
  </si>
  <si>
    <t>CONTRIBUTO AUTONOMA SISTEMAZIONE (SEMESTRE 2016 / GENNAIO - FEBBRAIO 2017)</t>
  </si>
  <si>
    <t>CONTRIBUTO AUTONOMA SISTEMAZIONE (GENNAIO-MARZO 2017)</t>
  </si>
  <si>
    <t>EROGAZIONE FONDI A TITOLO DI RIMBORSO PARZIALE DI SOMME SOSTENUTE IN SOMMA URGENZA E RENDICONTATE PER LAVORI DI MANUTENZIONE STRAORDINARIA SUI MAP CAPOLUOGO 1 N.6-7-8-17-18-19-21 - (SMONTAGGIO E RICOSTRUZIONE COPERTURA) E DAL N.1 AL N.5; DAL N.9 AL N.16, DAL N.22 AL N.41 (RINFORZO DELLA COPERTURA E MESSA A TERRA). INTERVENTI IN SOMMA URGENZA SU MAP CAPOLUOGO 2 DAL N.42 AL N.71 (RINFORZO DELLA COPERTURA E MESSA A TERRA) A SEGUITO DEGLI EVENTI METEREOLOGICI DEL 9 E 10 FEBBRAIO 2016 - COMUNE DI SANT'EUSANIO FORCONESE (AQ)</t>
  </si>
  <si>
    <t>EROGAZIONE RISORSE FINALIZZATE ALLA RICOSTRUZIONE PRIVATA EX DELIBERA CIPE 135/2012, DELIBERA CIPE 23/2014 E DELIBERA CIPE 22/2015 - COMUNE DI BRITTOLI (PE)</t>
  </si>
  <si>
    <t>EROGAZIONE FONDI PER REDAZIONE PIANO DI RICOSTRUZIONE PRATA D'ANSIDONIA</t>
  </si>
  <si>
    <t>EROGAZIONE FONDI PER LAVORI DI MANUTENZIONE STRAORDINARIA SUI MAP N. 22-39-43 IN LOCALITÀ CARDAMONE E N. 6-7-12 IN LOCALITÀ SUBEQUANA - COMUNE DI SAN DEMETRIO NE' VESTINI (AQ)</t>
  </si>
  <si>
    <t>EROGAZIONE FONDI A TITOLO DI TERZO ACCONTO II SAL, RELATIVO AL PROGETTO DEFINITIVO DI RIPARAZIONE DANNI A SEGUITO DEGLI EVENTI SISMICI DEL 06/04/2009 E RISTRUTTURAZIONE CON MIGLIORAMENTO SISMICO DELL'EDIFICIO SEDE COMUNALE - COMUNE DI BARISCIANO (AQ)</t>
  </si>
  <si>
    <t>EROGAZIONE SOMME A SALDO PER INTERVENTO DI "LAVORI DI REVISIONE PUNTELLAMENTO ESEGUITO NELLO STATO DI EMERGENZA SISMA APRILE 2009 FG. 9 PARTICELLA 1143 ATTRAVERSO DEMOLIZIONE PARZIALE DELLO STESSO" - COMUNE DI ACCIANO (AQ)</t>
  </si>
  <si>
    <t>COFIN CIPE78art1c1</t>
  </si>
  <si>
    <t>EROGAZIONE I SAL CORRELATO AL PROGETTO DEFINITIVO-ESECUTIVO PER LAVORI DI RIPARAZIONE DAI DANNI CAUSATI DAL TERREMOTO DELL'APRILE 2009 PRESSO IL CIMITERO DEL CAPOLUOGO II STRALCIO - MONTORIO AL VOMANO (TE)</t>
  </si>
  <si>
    <t>EROGAZIONE FONDI I SAL CORRELATO AL PROGETTO DEFINITIVO RELATIVO ALL'INTERVENTO DI MESSA IN SICUREZZA, DEMOLIZIONE DI PARTI PERICOLANTI DI EDIFICI DANNEGGIATI E RIMOZIONE DI MACERIE DALLA VIABILITÀ PUBBLICA NEL BORGO DI CIVITARETENGA - COMUNE DI NAVELLI (AQ)</t>
  </si>
  <si>
    <t>EROGAZIONE FONDI PER LIQUIDAZIONE SOMME A SALDO PER LAVORI IN SOMMA URGENZA DI MESSA IN SICUREZZA DI FABBRICATI RIPORTATI IN CATASTO AL FG. 13 PART.LLE 427 E 428 - COMUNE DI ACCIANO (AQ)</t>
  </si>
  <si>
    <t>EROGAZIONE FONDI A TITOLO DI RIMBORSO DELLE SPESE RENDICONTATE PER IL RILIEVO DELL'AREA DELLA CAVA CORRELATO AL "PROGETTO DI RECUPERO AMBIENTALE EX CAVA COMUNALE CON PRODOTTI PROVENIENTI DALLE DEMOLIZIONI DEI FABBRICATI DELL'AREA DEL CRATERE DELLA REGIONE ABRUZZO DANNEGGIATA DAL SISMA DEL 6 APRILE 2009" - COMUNE DI SAN PIO DELLE CAMERE (AQ)</t>
  </si>
  <si>
    <t>EROGAZIONE FONDI I SAL PER LAVORI CORRELATI AL FINANZIAMENTO PROGRAMMATICO RELATIVO AL PROGETTO DEFINITIVO ESECUTIVO PER LA MESSA IN SICUREZZA DI PARTE DELLA EX SEDE MUNICIPALE IN VIA SALITA DI COCCO, 10 - COMUNE DI POPOLI (PE)</t>
  </si>
  <si>
    <t>EROGAZIONE FONDI PER INTERVENTI DI RICOSTRUZIONE PRIVATA COMUNI "FUORI CRATERE" EX DELIBERA CIPE 22/2015 DEL 20/02/2015 (GU 140 DEL 19/06/2015) - COMUNE DI BELLANTE (TE)</t>
  </si>
  <si>
    <t>LIQUIDAZIONE SOMME SOSTENUTE RELATIVE AL PROGETTO DEFINITIVO-ESECUTIVO LAVORI DI MANUTENZIONE STRAORDINARIA DEI M.A.P. COMUNE DI CARAPELLE CALVISIO (AQ)</t>
  </si>
  <si>
    <t>TRASFERIMENTO SOMME A SALDO DEI LAVORI E DELLE SPESE TECNICHE RELATIVE AL PROGETTO PER LA MESSA IN SICUREZZA RELATIVA AL MURO DI CONTENIMENTO SITO IN PIAZZETTA DELLE MURA UBICATI NEL COMUNE DI CASTEL DEL MONTE (AQ).</t>
  </si>
  <si>
    <t>COMUNE DI SCAFA</t>
  </si>
  <si>
    <t>CF 81000070680</t>
  </si>
  <si>
    <t>APPROVAZIONE PROGETTO INTERVENTO INSERITO NEL PIANO DEGLI INTERVENTI "SCUOLE D'ABRUZZO -IL FUTURO IN SICUREZZA" - (ATTUAZIONE DEGLI INTERVENTI IN MATERIA DI EDILIZIA SCOLASTICA PREVISTI NELL'ALLEGATO AL D.C.D.N. 89 DEL 27 DICEMBRE 2011). SCUOLA MEDIA "MICHELANGELO BUONARROTI" E PRIMO TRASFERIMENTO FONDI. INTERVENTO INDIVIDUATO NELL'ALLEGATO ELENCO DELIBERA CIPE N.85/2013 N.133 CUP D47E13000490001 - PROTOCOLLO NORMALIZZATO PE-SCF-OOPP-04369 - COMUNE DI SCAFA (PE)</t>
  </si>
  <si>
    <t>EROGAZIONE FONDI PER INTERVENTI DI RICOSTRUZIONE PRIVATA COMUNI "FUORI CRATERE" EX DELIBERA CIPE 135/2012 DEL 21/12/2012 (GU 63 DEL 15/03/2013) COMUNE DI CALASCIO (AQ)</t>
  </si>
  <si>
    <t>EROGAZIONE IVA I SAL CORRELATO AL PROGETTO DEFINITIVO - ESECUTIVO PER LAVORI DI RIAPARAZIONE DAI DANNI CAUSATI DA TERREMOTO DELL'APRILE 2009 PRESSO IL CIMITERO DEL CAPOLUOGO II STRALCIO - MONTORIO AL VOMANO (TE)</t>
  </si>
  <si>
    <t>CODDFIN CIPE135a1c3</t>
  </si>
  <si>
    <t>COMUNE DI VILLAVALLELONGA</t>
  </si>
  <si>
    <t>CF 00207820663</t>
  </si>
  <si>
    <t>LOCAZIONE TEMPORANEA ALLOGGI (GENNAIO - DICEMBRE 2016)</t>
  </si>
  <si>
    <t>LOCAZIONE TEMPORANEA ALLOGGI (DICEMBRE 2014 - ANNUALITA' 2015 - I SEMESTRE 2016)</t>
  </si>
  <si>
    <t>LOCAZIONE TEMPORANEA ALLOGGI (LUGLIO - DICEMBRE 2016)
 (GENNAIO - FEBBRAIO 2017)</t>
  </si>
  <si>
    <t>RENDICONTAZIONE TRASLOCO E DEPOSITO TEMPORANEO DEL MOBILIO (NOVEMBRE 2016 - MARZO 2017)</t>
  </si>
  <si>
    <t>RENDICONTAZIONE TRASLOCO E DEPOSITO TEMPORANEO DEL MOBILIO (GIUGNO 2016 PER ANNUALITA' 2014/2015/2016)</t>
  </si>
  <si>
    <t>RENDICONTAZIONE TRASLOCO E DEPOSITO TEMPORANEO DEL MOBILIO (ANNUALITA' 2016/2017)</t>
  </si>
  <si>
    <t>LOCAZIONE TEMPORANEA ALLOGGI (OTTOBRE - DICEMBRE 2016)</t>
  </si>
  <si>
    <t>LOCAZIONE TEMPORANEA ALLOGGI (SETTEMBRE - DICEMBRE 2016)</t>
  </si>
  <si>
    <t>LOCAZIONE TEMPORANEA ALLOGGI (DIEMBRE 2016 - GENNAIO - 
 FEBBRAIO 2017)</t>
  </si>
  <si>
    <t>LOCAZIONE TEMPORANEA ALLOGGI (GENNAIO - FEBBRAIO 2017)</t>
  </si>
  <si>
    <t>EROGAZIONE SOMME A SALDO PER "LAVORI DI MANUTENZIONE STRAORDINARIA DEI M.A.P. 13,15,17,20 PALOMBAIA, 27 COLLARANO, 4,9 TATOZZI, 25,27 SUBEQUANA, 2,9,37 CARDAMONE" COMUNE DI SAN DEMETRIO NE' VESTINI (AQ)</t>
  </si>
  <si>
    <t>COMUNE DI SANTE MARIE</t>
  </si>
  <si>
    <t>CF 00191110667</t>
  </si>
  <si>
    <t>TRASFERIMENTO FONDI A TITOLO DI SALDO PER ATTUAZIONE INTERVENTI IN MATERIA DI EDILIZIA SCOLASTICA - COMUNE DI SANTE MARIE (AQ) "SCUOLA ELEMETARE L.RADICE" INTERVENTO INDIVIDUATO NELL'ALLEGATO AL D.C.D. n.89/2011 CUP C57E13000400001 - CIG 5945171E4C PROTOCOLLO NORMALIZZATO AQ-SNM-OOPP-01017</t>
  </si>
  <si>
    <t>COMUNE DI AVEZZANO</t>
  </si>
  <si>
    <t>CF 81002910669</t>
  </si>
  <si>
    <t>ACQUISIZIONE DOCUMENTI ATTI ALLA RENDICONTAZIONE DEL SECONDO TRASFERIMENTO E TERZO TRASFERIMENTO FONDI PER ATTUAZIONE INTERVENTI IN MATERIA DI EDILIZIA SCOLASTICA - COMUNE DI AVEZZANO (AQ) SCUOLA ELEMENTARE "CORRADINI" - INTERVENTO INDICATO NELL'ALLEGATO AL D.C.D. N.89/2011 E NELL'ALLEGATO RIMODULATO APPROVATO CON DELIBERA N.85/2013 - CUP J34B14000010001 - CIG 555663369B - PROTOCOLLO NORMALIZZATO AQ-AVZ-OOPP-04635</t>
  </si>
  <si>
    <t>EROGAZIONE RISORSE FINALIZZATE ALLA RICOSTRUZIONE PRIVATA EX DELIBERA CIPE 23/2014, E DELIBERA CIPE 22/2015 - COMUNE DI GORIANO SICOLI (AQ)</t>
  </si>
  <si>
    <t>EROGAZIONE FONDI PER LIQUIDAZIONE SOMME CORRELATE AL "PROGETTO PRELIMINARE DI ADEGUAMENTO/MIGLIORAMENTO SISMICO DELL'EDIFICIO COMUNALE" E FINALIZZATE AL TRASLOCO ARREDI E ATTREZZATURE DALLA SEDE COMUNALE ALLA EX SCUOLA MEDIA E ADEGUAMENTO MINIMO DEI LOCALI E IMPIANTI" NEL COMUNE DI COLLARMELE (AQ)</t>
  </si>
  <si>
    <t>EROGAZIONE RISORSE FINALIZZATE ALLA RICOSTRUZIONE PRIVATA EX DELIBERA CIPE 23/2014, E DELIBERA CIPE 22/2015 - COMUNE DI COLLEDARA (TE)</t>
  </si>
  <si>
    <t>EROGAZIONE FONDI SOMME A SALDO A VALERE SUL FINANZIAMENTO PROGRAMMATICO CORRELATO AL PROGETTO DEFINITIVO-ESECUTIVO DI LAVORI DI RIPARAZIONE DEL DANNO SISMICO E RAFFORZAMENTO DELLA SICUREZZA PREESISTENTE IN UN IMMOBILE DI EDILIZIA RESIDENZIALE PUBBLICA - COMUNE DI MONTEBELLO DI BERTONA (PE)</t>
  </si>
  <si>
    <t>COMUNE DI SANT'EUFEMIA A MAIELLA</t>
  </si>
  <si>
    <t>CF 81000470682</t>
  </si>
  <si>
    <t>EROGAZIONE FONDI PER INTERVENTI DI RICOSTRUZIONE PRIVATA COMUNI "FUORI CRATERE" EX DELIBERA CIPE 135/2012 DEL 21/12/2012 (GU 63 DEL 15/03/2013), DELIBERA CIPE 50/2013 DEL 02/08/2013 (GU 279 DEL 28/11/2013) E DELIBERA CIPE 22/2015 DEL 20/02/2015 (GU 140 DEL 19/06/2015) COMUNE DI SANT'EUFEMIA A MAIELLA (PE).</t>
  </si>
  <si>
    <t>CODFIN CIP135/2012 CIPE 50/2013 CIPE 22/2015</t>
  </si>
  <si>
    <t>EROGAZIONE FONDI PER INTERVENTI DI RICOSTRUZIONE PRIVATA COMUNI "FUORI CRATERE" EX DELIBERA CIPE 22/2015 DEL 20/02/2015 (GU 140 DEL 19/06/2015) COMUNE DI PENNE (PE)</t>
  </si>
  <si>
    <t>COMUNE DI FANO ADRIANO</t>
  </si>
  <si>
    <t>CF 92001400677</t>
  </si>
  <si>
    <t>EROGAZIONE FONDI REDAZIONE PIANO DI RICOSTRUZIONE</t>
  </si>
  <si>
    <t>EROGAZIONE FONDI PER LIQUIDAZIONE SAL FINALE RELATIVO AL PROGETTO DEFINITIVO/ESECUTIVO DI LAVORI DI REALIZZAZIONE DI UN CENTRO POLIFUNZIANALE MEDIANTE RICONVERSIONE EX MATTATOIO - COMUNE DI MONTEBELLO DI BERTONA (PE)</t>
  </si>
  <si>
    <t>EROGAZIONE FONDI CORRELATI AL SAL FINALE RELATIVO AL PROGETTO DEFINITIVO DI RIPARAZIONE E MIGLIORAMENTO SISMICO DELL'EDIFICIO EX OMNI SITO NEL COMUNE DI CUGNOLI (PE)</t>
  </si>
  <si>
    <t>EROGAZIONE SOMME A SALDO PER "LAVORI DI MANUTENZIONE STRAORDINARAIA DEI M.A.P. 2,4 COLLARANO, MAP 6,17,23 TATOZZI, MAP 9,26,29 SUBEQUANA" COMUNE DI SAN DEMETRIO NE' VESTINI (AQ)</t>
  </si>
  <si>
    <t>RENDICONTAZIONE CO.CO.CO. ( NOVEMBRE- DICEMBRE 2015)</t>
  </si>
  <si>
    <t>CODFIN CIPE22a6c2</t>
  </si>
  <si>
    <t>RENDICONTAZIONE CO.CO.CO. ( APRILE - DICEMBRE 2015)</t>
  </si>
  <si>
    <t>RENDICONTAZIONE CO.CO.CO. (DICEMBRE 2015)</t>
  </si>
  <si>
    <t>RENDICONTAZIONE CO.CO.CO. ( GIUGNO - DICEMBRE 2015)</t>
  </si>
  <si>
    <t>RENDICONTAZIONE CO.CO.CO. (MARZO-MAGGIO 2016)</t>
  </si>
  <si>
    <t>RENDICONTAZIONE CO.CO.CO. ( GENNAIO - APRILE 2017)</t>
  </si>
  <si>
    <t>CODFIN CIPE50a1c3</t>
  </si>
  <si>
    <t>RENDICONTAZIONE CO.CO.CO. ( GENNAIO - MARZO 2017)</t>
  </si>
  <si>
    <t>RENDICONTAZIONE CO.CO.CO. ( GENNAIO 2017)</t>
  </si>
  <si>
    <t>RENDICONTAZIONE CO.CO.CO. (GENNAIO - APRILE 2017)</t>
  </si>
  <si>
    <t>CONTRIBUTO AUTONOMA SISTEMAZIONE (AGOSTO 2016)</t>
  </si>
  <si>
    <t>CONTRIBUTO AUTONOMA SISTEMAZIONE (APRILE 2017, MAGGIO 2017 )</t>
  </si>
  <si>
    <t>CONTRIBUTO AUTONOMA SISTEMAZIONE (OTTOBRE - DICEMBRE 2016, GENNAIO -APRILE 2017 )</t>
  </si>
  <si>
    <t>CONTRIBUTO AUTONOMA SISTEMAZIONE (GENNAIO - MAGGIO 2017 )</t>
  </si>
  <si>
    <t>CONTRIBUTO AUTONOMA SISTEMAZIONE (MARZO, APRILE 2017)</t>
  </si>
  <si>
    <t>CONTRIBUTO AUTONOMA SISTEMAZIONE (APRILE, MAGGIO 2017 )</t>
  </si>
  <si>
    <t>CONTRIBUTO AUTONOMA SISTEMAZIONE (APRILE 2017)</t>
  </si>
  <si>
    <t>COMUNE DI CASTILENTI</t>
  </si>
  <si>
    <t>CF 81000270678</t>
  </si>
  <si>
    <t>CONTRIBUTO AUTONOMA SISTEMAZIONE (GIUGNO 2015-MARZO 2017)</t>
  </si>
  <si>
    <t>ACQUISIZIONE DELLA DOCUMENTAZIONE A RENDICONTAZIONE E TERZO TRASFERIMENTO FONDI PER ATTUAZIONE INTERVENTI IN MATERIA DI EDILIZIA SCOLASTICA - SCUOLA MATERNA ED ELEMENTARE INTERVENTO INDIVIDUATO AL N.44 DELL'ALLEGATO D.C.D. N.89/2011 CUP C87E13000270001 - CIG 6335997620 PROTOCOLLO NORMALIZZATO AQ-OVI-OOPP - 01157 COMUNE DI OVINDOLI (AQ)</t>
  </si>
  <si>
    <t>COMUNE DI FAGNANO ALTO</t>
  </si>
  <si>
    <t>CF 00193030665</t>
  </si>
  <si>
    <t>EROGAZIONE FONDI PER SPESE SOSTENUTE PER LAVORI MANUTENZIONE STRAORDINARIA-INTERVENTI DI RIPARAZIONE PER LAVORI DI SOMMA URGENZA RIPARAZIONE SUI MAP 5 IN LOCALITÀ CORBELLINO COMUNE DI FAGNANO ALTO (AQ)</t>
  </si>
  <si>
    <t>PRESA D'ATTO PROGETTO DEFINITIVO-ESECUTIVO E LAVORI ED EROGAZIONE FONDI A RIMBORSO SPESE PER OPERA DI MESSA IN SICUREZZA. EROGAZIONE SOMME "LAVORI DI REALIZZAZIONE DI STRUTTURA PROVVISIONALE A PROTEZIONE DI C.SO V. EMANUELE III E P.ZZA UMERTO I" - COMUNE DI BUGNARA (AQ)</t>
  </si>
  <si>
    <t>ATTIVAZIONE PRIMA FASE DEL PDR DI CASTELNUOVO RELATIVAMENTE ALLA PROBLEMATICA DELLE PROVE GEOLOGICHE E GEOFISICHE E LA PROGETTAZIONE PRELIMINARE DELLE OPERE DI MESSA IN SICUREZZA DEI "GROTTONI" - EROGAZIONI FONDI I ACCONTO GEOLOGO - FRAZIONE DI CASTELNUOVO - COMUNE DI SAN PIO DELLE CAMERE (AQ)</t>
  </si>
  <si>
    <t>EROGAZIONE FONDI A FAVORE DELLA ASM SPA - CANTIERE COMUNE SAN PIO DELLE CAMERE - FRAZ.CASTELNUOVO - CONVENZIONE REP/USRC N. 01 DEL 15/04/2015 E N. 2 DEL 10/10/2016 - FT. N. 20/01 DEL 15/06/2017</t>
  </si>
  <si>
    <t>TRASFERIMENTO FONDI A VALERE SULLA DELIBERA CIPE 135/2012 INERENTI LA SOSTITUZIONE EDILIZIA DEL COMPLESSO SCOLASTICO SITO IN MONTEREALE CAPOLUOGO OSPITANTE LA SCUOLA ELEMENTARE E MEDIA VIII SAL - COMUNE DI MONTEREALE (AQ) - CUP I83D13000250005 DEL 28/11/2013, PROTOCOLLO NORMALIZZATO : AQ-MON-OOPP-04433</t>
  </si>
  <si>
    <t>PRIMO TRASFERIMENTO A VALERE SU DELIBERA CIPE 135/2012 RELATIVO AL PROGETTO DEFINITIVO/ESECUTIVO INERENTE LA REALIZZAZIONE DI UN NUOVO EDIFICIO SCOLASTICO PER OSPITARE LA SCUOLA D'INFANZIA - INTERVENTO INDIVIDUATO NELL'ALLEGATO AL N. 24 DEL D.C.D. N. 89/2011 E AL N. 14 DELL'ALLEGATO RIMODULATO DI CUI ALLA DELIBERA CIPE N.85/2013 - CUP G99H12000660005 - CIG 6292731DE2 - PROTOCOLLO NORMALIZZATO - AQ-CPT-OOPP-04634 - COMUNE DI CAPITIGNANO (AQ)</t>
  </si>
  <si>
    <t>EROGAZIONE RISORSE FINALIZZATE ALLA RICOSTRUZIONE PRIVATA EX DELIBERA CIPE 23/2014, E DELIBERA CIPE 22/2015 - COMUNE DI CASTELVECCHIO SUBEQUO (AQ)</t>
  </si>
  <si>
    <t>CODFIN CIPE23/2014 CIPE22/2015</t>
  </si>
  <si>
    <t>EROGAZIONE RISORSE FINALIZZATE ALLA RICOSTRUZIONE PRIVATA EX DELIBERA CIPE 135/2012, 23/2014, E DELIBERA CIPE 22/2015 - COMUNE DI SANTO STEFANO DI SESSANIO (AQ)</t>
  </si>
  <si>
    <t>EROGAZIONE RISORSE FINALIZZATE ALLA RICOSTRUZIONE PRIVATA EX DELIBERA CIPE 23/2014, E DELIBERA CIPE 22/2015 - COMUNE DI OFENA (AQ)</t>
  </si>
  <si>
    <t>EROGAZIONE FONDI PER INTERVENTI DI RICOSTRUZIONE PRIVATA COMUNI "FUORI CRATERE" EX DELIBERA CIPE 22/2015 DEL 20/02/2015 (GU 140 DEL 19/06/2015) COMUNE DI COLLEPIETRO (AQ)</t>
  </si>
  <si>
    <t>COMUNE DI CASTEL CASTAGNA</t>
  </si>
  <si>
    <t>CF 80006810677</t>
  </si>
  <si>
    <t>EROGAZIONE FONDI PER INTERVENTI DI RICOSTRUZIONE PRIVATA COMUNI "FUORI CRATERE" EX DELIBERA CIPE 22/2015 DEL 20/02/2015 (GU 140 DEL 19/06/2015) COMUNE DI CASTEL CASTAGNA (TE)</t>
  </si>
  <si>
    <t>COMUNE DI PETTORANO SUL GIZIO</t>
  </si>
  <si>
    <t>CF 83002390660</t>
  </si>
  <si>
    <t>EROGAZIONE FONDI PER INTERVENTI DI RICOSTRUZIONE PRIVATA COMUNI "FUORI CRATERE" EX DELIBERA CIPE 135/2012 DEL 21/12/2012 (GU 63 DEL 15/03/2013), DELIBERA CIPE 50/2013 DEL 02/08/2013 (GU 279 DEL 28/11/2013) E DELIBERA CIPE 22/2015 DEL 20/02/2015 (GU 140 DEL 19/06/2015) COMUNE DI PETTORANO SUL GIZIO (AQ)</t>
  </si>
  <si>
    <t>COMUNE DI SAN MARTINO SULLA MARRUCINA</t>
  </si>
  <si>
    <t>CF 00261340699</t>
  </si>
  <si>
    <t>EROGAZIONE FONDI PER INTERVENTI DI RICOSTRUZIONE PRIVATA COMUNI "FUORI CRATERE" EX DELIBERA CIPE 22/2015 DEL 20/02/2015 (GU 140 DEL 19/06/2015) SAN MARTINO SULLA MARRUCINA (CH)</t>
  </si>
  <si>
    <t>INTERVENTO MANUTENZIONE STRAORDINARIA MAP INTERVENTO DI MANUTENZIONE STRAORDINARIA MAP 255 263 293 325, COMUNE DI PIZZOLI (AQ)</t>
  </si>
  <si>
    <t>EROGAZIONE FONDI SAL FINALE PER LAVORI DI MESSA IN SICUREZZA DEL CAMPANILE DELLA CHIESA DELLA MADONNA DEI RACCOMANDATI - COMUNE DI SAN DEMETRIO NE' VESTINI (AQ)</t>
  </si>
  <si>
    <t>EROGAZIONE FONDI SAL FINALE E SPESE TECNICHE CORRELATI AL PROGETTO: "LAVORI DI RIPARAZIONE DANNI E MIGLIORAMENTO SISMICO DEL CIMITERO DI SAN PIO DELLE CAMERE - COMPLETAMENTO " - SAN PIO DELLE CAMERE (AQ)</t>
  </si>
  <si>
    <t>EROGAZIONE FONDI PER LIQUIDAZIONE SOMME CORRELATE AL "PROGETTO PRELIMINARE DI ADEGUAMENTO/MIGLIORAMENTO SISMICO DELL'EDIFICIO COMUNALE" E FINALIZZATEA AL TRASLOCO ARREDI E ATTREZZATURE DALLA SEDE COMUNALE ALLA EX SCUOLA MEDIA E ADEGUAMENTO MINIMO DEI LOCALI E IMPIANTI - COMUNE DI COLLARMELE (AQ)</t>
  </si>
  <si>
    <t>CODFIN CIPE22/2015 CIPE113/2015</t>
  </si>
  <si>
    <t>EROGAZIONE RISORSE FINALIZZATE ALLA RICOSTRUZIONE PRIVATA EX DELIBERA CIPE 23/2014, E DELIBERA CIPE 22/2015 - COMUNE DI BARISCIANO (AQ)</t>
  </si>
  <si>
    <t>COMUNE DI TORRICELLA SICURA</t>
  </si>
  <si>
    <t>CF 80003050673</t>
  </si>
  <si>
    <t>EROGAZIONE FONDI PER INTERVENTI DI RICOSTRUZIONE PRIVATA COMUNI "FUORI CRATERE" EX DELIBERA CIPE 22/2015 DEL 20/02/2015 (GU 140 DEL 19/06/2015) COMUNE DI TORRICELLA SICURA (TE)</t>
  </si>
  <si>
    <t>EROGAZIONE SOMME A SALDO LAVORI DI MANUTENZIONE MAP DEL COMUNE DI CIVITELLA CASANOVA - COMUNE DI CIVITELLA CASANOVA (PE)</t>
  </si>
  <si>
    <t>EROGAZIONE FONDI IV RATA RELATIVI AL PROGETTO DEFINITIVO/ESECUTIVO INERENTE LA REALIZZAZIONE DI UN NUOVO EDIFICIO SCOLASTICO PER OSPITARE LA SCUOLA D'INFANZIA - INTERVENTO INDIVIDUATO NELL'ALLEGATO AL N. 24 DEL D.C.D. N. 89/2011 E AL N. 14 DELL'ALLEGATO RIMODULATO DI CUI ALLA DELIBERA CIPE N.85/2013 - CUP G99H12000660005 - CIG 6292731DE2 - PROTOCOLLO NORMALIZZATO - AQ-CPT-OOPP-04634 - COMUNE DI CAPITIGNANO (AQ)</t>
  </si>
  <si>
    <t>EROGAZIONE FONDI PER LIQUIDAZIONE SOMME I SAL E SPESE TECNICHE DIREZIONE LAVORI RELATIVI AL PROGETTO DEFINITIVO/ESECUTIVO "RESTAURO E CONSOLIDAMENTO CHIESA SAN NICOLA" - COMUNE DI VILLA SANTA LUCIA (AQ)</t>
  </si>
  <si>
    <t>COMUNE DI BISEGNA</t>
  </si>
  <si>
    <t>CF 00213000664</t>
  </si>
  <si>
    <t>EROGAZIONE FONDI PER INTERVENTI DI RICOSTRUZIONE PRIVATA COMUNI "FUORI CRATERE" EX DELIBERA CIPE 22/2015 DEL 20/02/2015 (GU 140 DEL 19/06/2015) - COMUNE DI BISEGNA (AQ)</t>
  </si>
  <si>
    <t>COMUNE DI NOTARESCO</t>
  </si>
  <si>
    <t>CF 81000390674</t>
  </si>
  <si>
    <t>EROGAZIONE FONDI PER INTERVENTI DI RICOSTRUZIONE PRIVATA COMUNI "FUORI CRATERE" EX DELIBERA CIPE 22/2015 DEL 20/02/2015 (GU 140 DEL 19/06/2015) COMUNE DI NOTARESCO (TE)</t>
  </si>
  <si>
    <t>EROGAZIONE FONDI PER INTERVENTI DI RICOSTRUZIONE PRIVATA COMUNI "FUORI CRATERE" EX DELIBERA CIPE 22/2015 DEL 20/02/2015 (GU 140 DEL 19/06/2015) COMUNE DI RAIANO (AQ)</t>
  </si>
  <si>
    <t>EROGAZIONE PRIMO ACCONTO PER COMPETENZE TECNICHE (PROGETTAZIONE ESECUTIVA E COORDINAMENTO SICUREZZA IN PROGETTAZIONE) CORRELATE AL PROGETTO DEFINITIVO RELATIVO ALL'INTERVENTO DI MIGLIORAMENTO SISMICO DELLA TORRE MEDICEA-COMUNE DI SANTO STEFANO DI SESSANIO (AQ)</t>
  </si>
  <si>
    <t>EROGAZIONE SOMME A SALDO DEL PROGETTO DEFINITIVO-ESECUTIVO PER LA MESSA IN SICUREZZA DI UN RUDERE SITO NELLA FRAZIONE DI ROCCAPRETURO - COMUNE DI ACCIANO (AQ)</t>
  </si>
  <si>
    <t>EROGAZIONE ONORARI TECNICI RELATIVI A PROGETTAZIONE E D.L. SU I SAL CORRELATO AL PROGETTO DEFINITIVO-ESECUTIVO PER LAVORI DI RIPARAZIONE DAI DANNI CAUSATI DAL TERREMOTO DELL'APRILE 2009 PRESSO IL CIMITERO DEL CAPOLUOGO II STRALCIO - MONTORIO AL VOMANO (TE)</t>
  </si>
  <si>
    <t>TRASFERIMENTO RATA DI SALDO RELATIVA AD ATTUAZIONE INTERVENTI IN MATERIA DI EDILIZIA SCOLASTICA ED ACCERTAMENTO ECONOMIE INTERVENTO INDICATO AL N.141 DELL'ALLEGATO AL D.C.D. N.89/2011 E AL N.124 DELLA DELIBERA N.85/2013 CUP: C61B14000190007 CIG: 6050508D24 - PROTOCOLLO NORMALIZZATO: TE-BIS-OOPP-04733 - "SCUOLA MEDIA" - COMUNE DI BISENTI (TE)</t>
  </si>
  <si>
    <t>COMUNE DI ORICOLA</t>
  </si>
  <si>
    <t>CF 00180950668</t>
  </si>
  <si>
    <t>APPROVAZIONE PROGETTO E PRIMO TRASFERIMENTO PER INTERVENTO INSERITO NEL PIANO DEGLI INTERVENTI "SCUOLE D'ABRUZZO - IL FUTURO IN SICUREZZA" - (ATTUAZIONE DEGLI INTERVENTI IN MATERIA DI EDILIZIA SCOLASTICA PREVISTI NELL'ALLEGATO AL D.C.D. N.89 DEL 27 DICEMBRE 2011) - CUP E54B13000190002 - PROTOCOLLO NORMALIZZATO AQ-ORC-OOPP-04422 COMUNE DI ORICOLA (AQ)</t>
  </si>
  <si>
    <t>EROGAZIONE FONDI PER INTERVENTI DI RICOSTRUZIONE PRIVATA COMUNI "FUORI CRATERE" EX DELIBERA CIPE 22/2015 DEL 20/02/2015 (GU 140 DEL 19/06/2015) COMUNE DI PICCIANO (PE)</t>
  </si>
  <si>
    <t>EROGAZIONE FONDI I RATA - INTERVENTO DI EDILIZIA SCOLASTICA COMUNE DI LORETO APRUTINO (PE). SCUOLA PRIMARIA DI "PASSO CORDONE" INTERVENTO INDIVIDUATO NELL'ALLEGATO ELENCO DELIBERA CIPE N. 85/2013 N. 114 CUP H45J11000220001 - PROTOCOLLO NORMALIZZATO PE-LRA-OOPP-04545</t>
  </si>
  <si>
    <t>PRESTAZIONI OCCASIONALI RELATIVE ALL'ISTRUTTORIA DELLE PRATICHE DI RICOSTRUZIONE DEI COMUNI FUORI CRATERE INDIRIZZATE VERSO GLI U.T.R. (MARZO-NOVEMBRE 2016)</t>
  </si>
  <si>
    <t>CIPE 50/2016a1c3</t>
  </si>
  <si>
    <t>PRESTAZIONI OCCASIONALI RELATIVE ALL'ISTRUTTORIA DELLE PRATICHE DI RICOSTRUZIONE DEI COMUNI FUORI CRATERE INDIRIZZATE VERSO GLI U.T.R. (GIUGNO - NOVEMBRE 2016)</t>
  </si>
  <si>
    <t>PRESTAZIONI OCCASIONALI RELATIVE ALL'ISTRUTTORIA DELLE PRATICHE DI RICOSTRUZIONE DEI COMUNI FUORI CRATERE INDIRIZZATE VERSO GLI U.T.R. (MARZO - DICEMBRE 2016)</t>
  </si>
  <si>
    <t>PRESTAZIONI OCCASIONALI RELATIVE ALL'ISTRUTTORIA DELLE PRATICHE DI RICOSTRUZIONE DEI COMUNI FUORI CRATERE INDIRIZZATE VERSO GLI U.T.R. (APRILE - DICEMBRE 2016)</t>
  </si>
  <si>
    <t>EROGAZIONE RISORSE FINALIZZATE ALLA RICOSTRUZIONE PRIVATA EX DELIBERA CIPE 135/2012, 23/2014, E DELIBERA CIPE 22/2015 - COMUNE DI FOSSA (AQ)</t>
  </si>
  <si>
    <t>CODFIN CIPE 135/2012 CIPE 22/2015</t>
  </si>
  <si>
    <t>EROGAZIONE FONDI PER INTERVENTI DI RICOSTRUZIONE PRIVATA COMUNI "FUORI CRATERE" EX DELIBERA CIPE 22/2015 DEL 20/02/2015 (GU 140 DEL 19/06/2015) COMUNE DI BASCIANO (TE)</t>
  </si>
  <si>
    <t>EROGAZIONE FONDI PER INTERVENTI DI RICOSTRUZIONE PRIVATA COMUNI "FUORI CRATERE" EX DELIBERA CIPE 22/2015 DEL 20/02/2015 (GU 140 DEL 19/06/2015) COMUNE DI CORFINIO (AQ)</t>
  </si>
  <si>
    <t>EROGAZIONE FONDI A SALDO PROGETTO DEFINITIVO DI RIPARAZIONE DEL CIMITERO COMUNALE DI CASTELVECCHIO SUBEQUO (AQ)</t>
  </si>
  <si>
    <t>LIQUIDAZIONE I SAL RELATIVO AL PROGETTO DEFINITIVO/ESECUTIVO DI LAVORI DI MIGLIORAMENTO SISMICO ALA NORD DEL COMPLESSO SCOLASTICO DI P.ZZA G.PAOLINI DA ADIBIRE A SEDE DEL MUNICIPIO DEL COMUNE DI POPOLI (PE)</t>
  </si>
  <si>
    <t>EROGAZIONE FONDI PER LIQUIDAZIONE SPESE TECNICHE RELATIVO AL PROGETTO DEFINITIVO CONCERNENTE L'INTERVENTO DI RIPARAZIONE E MIGLIORAMENTO SISMICO DI PALAZZO CASTELLATO - COMUNE DI CASTELVECCHIO SUBEQUO (AQ)</t>
  </si>
  <si>
    <t>RENDICONTAZIONE TRASLOCO E DEPOSITO TEMPORANEO DEL MOBILIO (MAGGIO 2017)</t>
  </si>
  <si>
    <t>RENDICONTAZIONE TRASLOCO E DEPOSITO TEMPORANEO DEL MOBILI (INTEGRAZIONE ANNUALITA' 2015)</t>
  </si>
  <si>
    <t>RENDICONTAZIONE TRASLOCO E DEPOSITO TEMPORANEO DEL MOBILIO (APRILE - MAGGIO 2017)</t>
  </si>
  <si>
    <t>RENDICONTAZIONE TRASLOCO E DEPOSITO TEMPORANEO DEL MOBILIO (OTTOBRE 2016 - DICEMBRE 2016 - GENNAIO 2017)</t>
  </si>
  <si>
    <t>RENDICONTAZIONE TRASLOCO E DEPOSITO TEMPORANEO DEL MOBILIO (GIUGNO 2017)</t>
  </si>
  <si>
    <t>RENDICONTAZIONE TRASLOCO E DEPOSITO TEMPORANEO DEL MOBILIO (APRILE 2017)</t>
  </si>
  <si>
    <t>RENDICONTAZIONE TRASLOCO E DEPOSITO TEMPORANEO DEL MOBILIO (DICEMBRE 2015 - APRILE 2017)</t>
  </si>
  <si>
    <t>COMUNE DI SCOPPITO</t>
  </si>
  <si>
    <t>CF 00183860667</t>
  </si>
  <si>
    <t>LOCAZIONE TEMPORANEA ALLOGGI (INTEGRAZIONE LUGLIO/AGOSTO 2014 E SETTEMBRE 2014 - AGOSTO 2016)</t>
  </si>
  <si>
    <t>LOCAZIONE TEMPORANEA ALLOGGI (GENNAIO - MARZO 2017)</t>
  </si>
  <si>
    <t>LOCAZIONE TEMPORANEA ALLOGGI (MARZO - MAGGIO 2017)</t>
  </si>
  <si>
    <t>LOCAZIONE TEMPORANEA ALLOGGI (OTTOBRE DICEMBRE 2016 - GENNAIO MARZO 2017)</t>
  </si>
  <si>
    <t>RENDICONTAZIONE INDENNIZZO BENI MOBILI DANNEGGIATI (APRILE 2017)</t>
  </si>
  <si>
    <t>RENDICONTAZIONE CO.CO.CO. (GENNAIO - MAGGIO 2016)</t>
  </si>
  <si>
    <t>COMUNE DI FONTECCHIO</t>
  </si>
  <si>
    <t>CF 00189210669</t>
  </si>
  <si>
    <t>RENDICONTAZIONE CO.CO.CO. (APRILE - MAGGIO 2016)</t>
  </si>
  <si>
    <t>RENDICONTAZIONE CO.CO.CO. (APRILE - MAGGIO 2017)</t>
  </si>
  <si>
    <t>CODFIN CIPE50art1c3</t>
  </si>
  <si>
    <t>RENDICONTAZIONE CO.CO.CO. (FEBBRAIO 2017)</t>
  </si>
  <si>
    <t>RENDICONTAZIONE CO.CO.CO. (APRILE 2017)</t>
  </si>
  <si>
    <t>RENDICONTAZIONE CO.CO.CO. (GENNAIO - GIUGNIO 2017)</t>
  </si>
  <si>
    <t>RENDICONTAZIONE CO.CO.CO. (GENNAIO - GIUGNO 2017)</t>
  </si>
  <si>
    <t>RENDICONTAZIONE CO.CO.CO. (GENNAIO - MAGGIO 2017)</t>
  </si>
  <si>
    <t>EROGAZIONE FONDI PER INTERVENTI DI RICOSTRUZIONE PRIVATA COMUNI "FUORI CRATERE" DELIBERA CIPE 22/2015 DEL 20/02/2015 (GU 140 DEL 19/06/2015) COMUNE DI CASTIGLIONE A CASAURIA (PE)</t>
  </si>
  <si>
    <t>COMUNE DI CASTIGLIONE MESSER RAIMONDO</t>
  </si>
  <si>
    <t>CF 80003890672</t>
  </si>
  <si>
    <t>EROGAZIONE FONDI PER INTERVENTI DI RICOSTRUZIONE PRIVATA COMUNI "FUORI CRATERE" EX DELIBERA CIPE 22/2015 DEL 20/02/2015 (GU 140 DEL 19/06/2015) COMUNE DI CASTIGLIONE MESSER RAIMONDO (TE)</t>
  </si>
  <si>
    <t>ACQUISIZIONE DOCUMENTI ATTI ALLA RENDICONTAZIONE E TRASFERIMENTO FONDI A SALDO PER ATTUAZIONE INTERVENTI IN MATERIA DI EDILIZIA SCOLASTICA - COMUNE DI ELICE (PE). CUP G11H13000530002 DEL 27/11/2013 - PROTOCOLLO NORMALIZZATO PE-ELC-OOPP-01043</t>
  </si>
  <si>
    <t>EROGAZIONE I SAL RELATIVO AI LAVORI DI MESSA IN SICUREZZA DELLA CAPPELLA CAPPELLI - COMUNE DI SAN DEMETRIO NE' VESTINI (AQ)</t>
  </si>
  <si>
    <t>EROGAZIONE FONDI LIQUIDAZIONE III SAL RELATIVO AL PROGETTO ESECUTIVO DI RECUPERO E VALORIZZAZIONE DELLA TORRE MEDIOEVALE DANNEGGIATA DAL SISMA DEL 06/04/2009 SITA NEL COMUNE DI COCULLO (AQ)</t>
  </si>
  <si>
    <t>EROGAZIONE FONDI PER INTERVENTO DI "RIPRISTINO DELLA VIABILITÀ STRADALE VIA MADONNA DEI RACCOMANDATI" - COMUNE DI SAN DEMETRIO NE' VESTINI (AQ)</t>
  </si>
  <si>
    <t>CODFIN DISET48CIIa1c2</t>
  </si>
  <si>
    <t>EROGAZIONE FONDI PER LIQUIDAZIONE I SAL E SPESE TECNICHE RELATIVI AL PROGETTO DEFINITIVO-ESECUTIVO DI REALIZZAZIONE INTERVENTI PRIORITARI E NECESSARI PER ASSICURARE L'ACCESSIBILITÀ E LA FUNZIONALITA' DELLE STRUTTURE CIMITERIALI DEL COMUNE DI COCULLO (AQ)</t>
  </si>
  <si>
    <t>PI 00221280688</t>
  </si>
  <si>
    <t>EROGAZIONE FONDI PER INTERVENTI DI RICOSTRUZIONE PRIVATA COMUNI "FUORI CRATERE" EX DELIBERA CIPE 22/2015 DEL 20/02/2015 (GU 140 DEL 19/06/2015), DELIBERA CIPE 50/2013 DEL 02/08/2013 (GU 279 DEL 28/11/2013) E DELIBERA CIPE 135/2012 DEL 21/12/2012 (GU 63 DEL 13/03/2013) - COMUNE DI PIETRANICO (PE)</t>
  </si>
  <si>
    <t>EROGAZIONE FONDI A FAVORE DELLA ASM SPA - CANTIERE COMUNE SAN PIO DELLE CAMERE - FRAZ.CASTELNUOVO - CONVENZIONE REP/USRC N. 01 DEL 15/04/2015 E N. 2 DEL 10/10/2016 - FT. N. 30/01 DEL 14/07/2017</t>
  </si>
  <si>
    <t>EROGAZIONE FONDI PER LIQUIDAZIONE II SAL RELATIVO AI LAVORI DI MESSA IN SICUREZZA DELLA SEDE STRADALE E DEL CAMPO DA GIOCO POLIVALENTE IN CORRISPONDENZA DELLA VIABILITÀ DI ACCESSO ALL'AREA MAP-OVEST DELLA FRAZIONE DI CASTELNUOVO - COMUNE DI SAN PIO DELLE CAMERE (AQ)</t>
  </si>
  <si>
    <t>CONTRIBUTO AUTONOMA SISTEMAZIONE ( APRILE 2017)</t>
  </si>
  <si>
    <t>CONTRIBUTO AUTONOMA SISTEMAZIONE (SETTEMBRE - OTTOBRE NOVEMBRE - DICEMBRE 2016, GENNAIO - FEBBRAIO - MARZO - APRILE - MAGGIO 2017 )</t>
  </si>
  <si>
    <t>CONTRIBUTO AUTONOMA SISTEMAZIONE (GIUGNO 2017 )</t>
  </si>
  <si>
    <t>CONTRIBUTO AUTONOMA SISTEMAZIONE (MAGGIO, GIUGNO 2017 )</t>
  </si>
  <si>
    <t>CONTRIBUTO AUTONOMA SISTEMAZIONE (APRILE 2017, MAGGIO 2017)</t>
  </si>
  <si>
    <t>CONTRIBUTO AUTONOMA SISTEMAZIONE (MAGGIO, GIUGNO 2017)</t>
  </si>
  <si>
    <t>CONTRIBUTO AUTONOMA SISTEMAZIONE (GIUGNO 2017)</t>
  </si>
  <si>
    <t>CONTRIBUTO AUTONOMA SISTEMAZIONE (GENNAIO - GIUGNO 2017)</t>
  </si>
  <si>
    <t>CONTRIBUTO AUTONOMA SISTEMAZIONE (GENNAIO - APRILE 2017 )</t>
  </si>
  <si>
    <t>CONTRIBUTO AUTONOMA SISTEMAZIONE (APRILE - MAGGIO 2017)</t>
  </si>
  <si>
    <t>COMUNE DI VALLE CASTELLANA</t>
  </si>
  <si>
    <t>CF 80006060679</t>
  </si>
  <si>
    <t>CONTRIBUTO AUTONOMA SISTEMAZIONE (NOVEMBRE 2016 - MARZO 2017)</t>
  </si>
  <si>
    <t>COMUNE DI INTRODAQUA</t>
  </si>
  <si>
    <t>CF00197560667</t>
  </si>
  <si>
    <t>CONTRIBUTO AUTONOMA SISTEMAZIONE (GENNAIO 2010 -SETTEMBRE 2013 )</t>
  </si>
  <si>
    <t>CONTRIBUTO AUTONOMA SISTEMAZIONE (FEBBRAIO - MAGGIO 2017)</t>
  </si>
  <si>
    <t>CONTRIBUTO AUTONOMA SISTEMAZIONE (NOVEMBRE 2016 - MAGGIO 2017)</t>
  </si>
  <si>
    <t>APPROVAZIONE PROGETTO E PRIMO TRASFERIMENTO PER INTERVENTO INSERITO NEL PIANO DEGLI INTERVENTI "SCUOLE D'ABRUZZO - IL FUTURO IN SICUREZZA" - (ATTUAZIONE DEGLI INTERVENTI IN MATERIA DI EDILIZIA SCOLASTICA PREVISTI NELL'ALLEGATO AL D.C.D. N. 89 DEL 27 DICEMBRE 2011) - ISTITUTO M. COMI DI TERAMO - INTERVENTO INDIVIDUATO NELL'ALLEGATO ELENCO AL N. 159 DELLA DELIBERA CIPE N. 47/2009 ED ALL'ELENCO DI CUI ALLA DELIBERA CIPE N. 85/2013 N. 140. DELIBERAZIONE DEL PRESIDENTE DELLA PROVINCIA N. 386 DEL 09/10/2015. CUP E44H14000020001 - PROTOCOLLO NORMALIZZATO TE-PROVTE-OOPP-04681 - PROVINCIA DI TERAMO (TE)</t>
  </si>
  <si>
    <t>ACQUISIZIONE PRIMA RATA E TRASFERIMENTO SECONDA RATA PER ATTUAZIONE INTERVENTI IN MATERIA DI EDILIZIA SCOLASTICA. PROVINCIA DI TERAMO (TE). I.P.S.I.A. "E. MARINO" - INTERVENTO INDIVIDUATO NELL'ALLEGATO AL N. 162 DEL D.C.D. N. 89/2011 E AL N. 142 DELL'ALLEGATO RIMODULATI DI CUI ALLA DELIBERA N. 85/2013 CUP E44H14000030001 PROTOCOLLO NORMALIZZATO TE-PROVTE-OOPP-01429</t>
  </si>
  <si>
    <t>LIQUIDAZIONE I SAL RELATIVO ALL'INTERVENTO DI "LAVORI DI RIPARAZIONE POST SISMA DELL'EX MATTATOIO COMUNALE DI SAN DEMETRIO NE' VESTINI (AQ)"</t>
  </si>
  <si>
    <t>EROGAZIONE RISORSE PER PRESTAZIONI GEOLOGO ED INDAGINI GEOLOGICHE-SISMICHE RELATIVE ALL'INTERVENTO DEFINITIVO DI MESSA IN SICUREZZA DI UN MURO DI SOSTEGNO SITO IN VIA MARINACCI - COMUNE DI COLLARMELE (AQ)</t>
  </si>
  <si>
    <t>ACQUISIZIONE RENDICONTAZIONE TERZA RATA E TRASFERIMENTO QUARTA RATA PER ATTUAZIONE INTERVENTI IN MATERIA DI EDILIZIA SCOLASTICA - SCUOLA MEDIA "A. VIVENZA" COMUNE DI AVEZZANO (AQ) - INTERVENTO INDICATO AL II° STRALCIO DEL PROGRAMMA DI MESSA IN SICUREZZA DI EDIFICI SCOLASTICI A VALERE SULLA DELIBERA CIPE N. 47/2009 CUP J33B11000110001 - CIG - 2113855852, PROTOCOLLO MORMALIZZATO AQ-AVZ-OOPP-01278</t>
  </si>
  <si>
    <t>COMUNE DI CORTINO</t>
  </si>
  <si>
    <t>CF 80004350676</t>
  </si>
  <si>
    <t>EROGAZIONE FONDI PER INTERVENTI DI RICOSTRUZIONE PRIVATA COMUNI "FUORI CRATERE" EX DELIBERA CIPE 22/2015 DEL 20/02/2015 (GU 140 DEL 19/06/2015) - COMUNE DI CORTINO (TE)</t>
  </si>
  <si>
    <t>ACQUISIZIONE RENDICONTAZIONE E TRASFERIMENTO FONDI PER ATTUAZIONE INTERVENTI IN MATERIA DI EDILIZIA SCOLASTICA - COMUNE DI PENNA SANT'ANDREA (TE) INTERVENTO INDIVIDUATO NELL'ALLEGATO AL D.C.D. N. 89/2011 O ALTRA DICITURA SE RIMODULATO CUP C57H13001290002 - CIG 6277349843 PROTOCOLLO NORMALIZZATO TE-PSA-OOPP-01187</t>
  </si>
  <si>
    <t>ACQUISIZIONE RENDICONTAZIONE E TERZO TRASFERIMENTO FONDI PER ATTUAZIONE INTERVENTI IN MATERIA DI EDILIZIA SCOLASTICA - SCUOLA MATERNA DI PATERNO INTERVENTO INDIVIDUATO NELL'ALLEGATO AL D.C.D. N. 89/2011 CUP J31E15000220005 - CIG 6331684EEA PROTOCOLLO NORMALIZZATO AQ-AVZ-OOPP-01648 PATERNO - AVEZZANO</t>
  </si>
  <si>
    <t>EROGAZIONE FONDI SECONDO TRASFERIMENTO PER ATTUAZIONE INTERVENTI IN MATERIA DI EDILIZIA SCOLASTICA. NUOVA COSTRUZIONE DI UN COMPLESSO SCOLASTICO DESTINATO AD OSPITARE LA SCUOLA DELL'INFANZIA E PRIMARIA. INTERVENTO INDIVIDUATO AL N. 21 DELL'ALLEGATO AL D.C.D. N. 89/2011, CUP: G99H12000470002, CIG: 5905556AF8, PROTOCOLLO NORMALIZZATO: AQ-BGN-OOPP-03938 - COMUNE DI BUGNARA (AQ)</t>
  </si>
  <si>
    <t>ACQUISIZIONE DOCUMENTI ATTI ALLA RENDICONTAZIONE E SECONDO TRASFERIMENTO FONDI PER ATTUAZIONE INTERVENTI IN MATERIA DI EDILIZIA SCOLASTICA - I.T.C.G. "G. MARCONI" - PENNE INTERVENTO INDIVIDUATO NELL'ALLEGATO AL D.C.D. N. 89/2011 AL N. 118 DELL'ALLEGATO CUP C11E13000250005 - CIG Z64180FC38 PROTOCOLLO NORMALIZZATO PE-PROVPE-OOPP-03368 PROVINCIA DI PESCARA</t>
  </si>
  <si>
    <t>EROGAZIONE RISORSE FINALIZZATE ALLA RICOSTRUZIONE PRIVATA EX DELIBERA CIPE 135/2012, 23/2014, E DELIBERA CIPE 22/2015 - COMUNE DI ROCCA DI CAMBIO (AQ)</t>
  </si>
  <si>
    <t>CODFIN CIPE135/2012 CIPE23/2014 CIPE22/2015</t>
  </si>
  <si>
    <t>EROGAZIONE RISORSE FINALIZZATE ALLA RICOSTRUZIONE PRIVATA EX DELIBERA CIPE 135/2012, 23/2014, E DELIBERA CIPE 22/2015 - COMUNE DI CIVITELLA CASANOVA (PE)</t>
  </si>
  <si>
    <t>EROGAZIONE RISORSE FINALIZZATE ALLA RICOSTRUZIONE PRIVATA EX DELIBERA CIPE 135/2012, 23/2014, E DELIBERA CIPE 22/2015 - COMUNE DI LUCOLI (AQ)</t>
  </si>
  <si>
    <t>COMUNE DI ARSITA</t>
  </si>
  <si>
    <t>CF 00139560676</t>
  </si>
  <si>
    <t>EROGAZIONE RISORSE FINALIZZATE ALLA RICOSTRUZIONE PRIVATA EX DELIBERA CIPE 135/2012, 23/2014, E DELIBERA CIPE 22/2015 - COMUNE DI ARSITA (TE)</t>
  </si>
  <si>
    <t>EROGAZIONE RISORSE FINALIZZATE ALLA RICOSTRUZIONE PRIVATA EX DELIBERA CIPE 135/2012, 23/2014, E DELIBERA CIPE 22/2015 - COMUNE DI BARETE (AQ)</t>
  </si>
  <si>
    <t>EROGAZIONE FONDI PER INTERVENTI DI RICOSTRUZIONE PRIVATA COMUNI "FUORI CRATERE" EX DELIBERA CIPE 22/2015 DEL 20/02/2015 (GU 140 DEL 19/06/2015) COMUNE DI VITTORITO (AQ)</t>
  </si>
  <si>
    <t>COMUNE DI CERMIGNANO</t>
  </si>
  <si>
    <t>CF 80003870674</t>
  </si>
  <si>
    <t>EROGAZIONE FONDI PER INTERVENTI DI RICOSTRUZIONE PRIVATA COMUNI "FUORI CRATERE" EX DELIBERA CIPE 22/2015 DEL 20/02/2015 (GU 140 DEL 19/06/2015), DELIBERA CIPE 50/2013 DEL 02/08/2013 (GU 279 DEL 28/11/2013) E DELIBERA CIPE 135/2012 (GU 63 DEL 13/03/2013) - COMUNE DI CERMIGNANO (TE)</t>
  </si>
  <si>
    <t>COMUNE DI COLLECORVINO</t>
  </si>
  <si>
    <t>CF 00137880688</t>
  </si>
  <si>
    <t>EROGAZIONE FONDI PER INTERVENTI DI RICOSTRUZIONE PRIVATA COMUNI "FUORI CRATERE" EX DELIBERA CIPE 22/2015 DEL 20/02/2015 (GU 140 DEL 19/06/2015) COMUNE DI COLLECORVINO (PE)</t>
  </si>
  <si>
    <t>EROGAZIONE FONDI PER INTERVENTI DI RICOSTRUZIONE PRIVATA COMUNI "FUORI CRATERE" EX DELIBERA CIPE 22/2015 DEL 20/02/2015 (GU 140 DEL 19/06/2015) COMUNE DI TOLLO (CH)</t>
  </si>
  <si>
    <t>EROGAZIONE RISORSE FINALIZZATE ALLA RICOSTRUZIONE PRIVATA DELIBERA CIPE EX 23/2014, E DELIBERA CIPE 22/2015 - COMUNE DI SANTO STEFANO DI SESSANIO (AQ)</t>
  </si>
  <si>
    <t>CONTRIBUTO AUTONOMA SISTEMAZIONE (MARZO, MAGGIO, GIUGNO 2017)</t>
  </si>
  <si>
    <t>CONTRIBUTO AUTONOMA SISTEMAZIONE (GIUGNO - LUGLIO 2017)</t>
  </si>
  <si>
    <t>CONTRIBUTO AUTONOMA SISTEMAZIONE (LUGLIO 2017)</t>
  </si>
  <si>
    <t>CONTRIBUTO AUTONOMA SISTEMAZIONE (MAGGIO - GIUGNO 2017)</t>
  </si>
  <si>
    <t>CONTRIBUTO AUTONOMA SISTEMAZIONE (2016 - 2017)</t>
  </si>
  <si>
    <t>CONTRIBUTO AUTONOMA SISTEMAZIONE (MARZO- LUGLIO 2017)</t>
  </si>
  <si>
    <t>CONTRIBUTO AUTONOMA SISTEMAZIONE (SETTEMBRE 2016 - APRILE 2017)</t>
  </si>
  <si>
    <t>COMUNE DI CELANO</t>
  </si>
  <si>
    <t>CF 00094090669</t>
  </si>
  <si>
    <t>CONTRIBUTO AUTONOMA SISTEMAZIONE (APRILE, MAGGIO, GIUGNO, 2016)</t>
  </si>
  <si>
    <t>COMUNE DI CANZANO</t>
  </si>
  <si>
    <t>CF 80004810679</t>
  </si>
  <si>
    <t>CONTRIBUTO AUTONOMA SISTEMAZIONE (DICEMBRE 2016 - MAGGIO 2017)</t>
  </si>
  <si>
    <t>RENDICONTAZIONE TRASLOCO E DEPOSITO TEMPORANEO DEL MOBILIO (LUGLIO, AGOSTO 2017)</t>
  </si>
  <si>
    <t>RENDICONTAZIONE TRASLOCO E DEPOSITO TEMPORANEO DEL MOBILIO (MAGGIO, GIUGNO, LUGLIO 2017)</t>
  </si>
  <si>
    <t>RENDICONTAZIONE TRASLOCO E DEPOSITO TEMPORANEO DEL MOBILIO (LUGLIO 2017)</t>
  </si>
  <si>
    <t>RENDICONTAZIONE TRASLOCO E DEPOSITO TEMPORANEO DEL MOBILIO (MARZO - GIUGNO, LUGLIO 2017)</t>
  </si>
  <si>
    <t>RENDICONTAZIONE TRASLOCO E DEPOSITO TEMPORANEO DEL MOBILIO (DICEMBRE 2016, GENNAIO 2017, MAGGIO 2017)</t>
  </si>
  <si>
    <t>RENDICONTAZIONE TRASLOCO E DEPOSITO TEMPORANEO DEL MOBILIO (LUGLIO, AGOSTO 2016, GENNAIO, MAGGIO, GIUGNO 2017)</t>
  </si>
  <si>
    <t>LOCAZIONE TEMPORANEA ALLOGGI (GENNAIO - GIUGNO 2017)</t>
  </si>
  <si>
    <t>LOCAZIONE TEMPORANEA ALLOGGI (APRILE - GIUGNO 2017)</t>
  </si>
  <si>
    <t>COMUNE DI CATIGNANO</t>
  </si>
  <si>
    <t>CF 80001570680</t>
  </si>
  <si>
    <t>LOCAZIONE TEMPORANEA ALLOGGI (SETTEMBRE 2016 - MAGGIO 2017)</t>
  </si>
  <si>
    <t>EROGAZIONE FONDI PER INTERVENTI DI RICOSTRUZIONE PRIVATA COMUNI "FUORI CRATERE" EX DELIBERA CIPE 22/2015 DEL 20/02/2015 (GU 140 DEL 19/06/2015) COMUNE DI ATRI (TE)</t>
  </si>
  <si>
    <t>EROGAZIONE FONDI PER PAGAMENTO I SAL E DIREZIONE LAVORI CORRELATO AL PROGETTO DEFINITIVO/ESECUTIVO RELATIVO ALL'INTERVENTO DI RISTRUTTURAZIONE E CONSOLIDAMENTO DELL'EDIFICIO FORESTERIA L'AQUILA REALE - COMUNE DI VILLA SANTA LUCIA DEGLI ABRUZZI (AQ)</t>
  </si>
  <si>
    <t>PRESA D'ATTO DEL PROGETTO ESECUTIVO ED EROGAZIONE SOMME A SALDO DEI LAVORI E DELLE COMPETENZE TECNICHE RELATIVI AI LAVORI DI MESSA IN SICUREZZA DI TIPO DEFINITIVO SU IMMOBILI PUNTELLATI A SEGUITO DEL SISMA 2009, AGGETTANTI SU AREA PUBBLICA RECANTE INTERDIZIONE AL TRANSITO PEDONALE, ANGOLO VIA VITTORITO CIRCONVALLAZIONE S.ANTONIO - COMUNE DI RAIANO (AQ)</t>
  </si>
  <si>
    <t>LIQUIDAZIONE II SAL E COLLAUDO IN CORSO D'OPERA RELATIVI AL PROGETTO DEFINITIVO/ESECUTIVO DI LAVORI DI MIGLIORAMENTO SISMICO ALA NORD DEL COMPLESSO SCOLASTICO DI P.ZZA G. PAOLINI DA ADIBIRE A SEDE DEL MUNICIPIO DEL COMUNE DI POPOLI (PE)</t>
  </si>
  <si>
    <t>EROGAZIONE FONDI SPESE TECNICHE E RILIEVI CORRELATI AL PROGETTO ESECUTIVO RELATIVO AD INTERVENTO DI SISTEMAZIONE E MESSA IN SICUREZZA DEI RUDERI SITI A ROCCA CALASCIO IN SEGUITO AL SISMA DEL 06/04/2009. - COMUNE DI CALASCIO (AQ)</t>
  </si>
  <si>
    <t>EROGAZIONE FONDI A TITOLO DI ACCONTO SPESE TECNICHE PER INTERVENTO DI MESSA IN SICUREZZA DEL COSTONE PROSPICENTE IL PLESSO SCOLASTICO A. DE GASPERI, ATTRAVERSO IL CONSOLIDAMENTO E LA RIQUALIFICAZIONE - COMUNE DI MONTEBELLO DI BERTONA (PE)</t>
  </si>
  <si>
    <t>EROGAZIONE FONDI I SAL CORRELATO AL PROGETTO DEFINITIVO RELATIVO ALL'INTERVENTO DI RIPARAZIONE EDILIZIA CIMITERIALE - COMUNE DI SANTO STEFANO DI SESSANIO (AQ)</t>
  </si>
  <si>
    <t>TRASFERIMENTO FONDI A VALERE SULLA DELIBERA CIPE 135/2012 INERENTI LA SOSTITUZIONE EDILIZIA DEL COMPLESSO SCOLASTICO SITO IN MONTEREALE CAPOLUOGO OSPITANTE LA SCUOLA ELEMENTARE E MEDIA A TITOLO DI SALDO DI STATO FINALE - COMUNE DI MONTEREALE (AQ) - CUP - I83D13000250005 DEL 28/11/2013, PROTOCOLLO NORMALIZZATO: AQ-MON-OOPP-04433</t>
  </si>
  <si>
    <t>INTERVENTO MANUTENZIONE STRAORDINARIA MAP 39 E MAP 27 COLLARANO, MAP 12 SUBEQUANA, MAP 18 PALOMBAIA, MAP 46 CARDAMONE. COMUNE DI SAN DEMETRIO NE' VESTINI (AQ)</t>
  </si>
  <si>
    <t>LIQUIDAZIONE SOMME RELATIVE A RENDICONTAZIONE LAVORAZIONI ESEGUITE SUI M.A.P. UBICATI NEL COMUNE DI OCRE (AQ)</t>
  </si>
  <si>
    <t>EROGAZIONE FONDI PER SPESE STATO FINALE RELATIVO ALL'INTERVENTO DI RIPRISTINO DELL'ACCESSIBILITÀ E DELLA FUNZIONALITÀ DELLE STRUTTURE CIMITERIALI-OSSARIO- COMUNE DI COCULLO (AQ)</t>
  </si>
  <si>
    <t>EROGAZIONE RISORSE FINALIZZATE ALLA RICOSTRUZIONE PRIVATA EX DELIBERA CIPE EX 23/2014, E DELIBERA CIPE 22/2015 - COMUNE DI MONTEREALE (AQ)</t>
  </si>
  <si>
    <t>COMUNE DI PREZZA</t>
  </si>
  <si>
    <t>CF 00189230667</t>
  </si>
  <si>
    <t>EROGAZIONE FONDI PER INTERVENTI DI RICOSTRUZIONE PRIVATA COMUNI "FUORI CRATERE" EX DELIBERA CIPE 22/2015 DEL 20/02/2015 (GU 140 DEL 19/06/2015), DELIBERA CIPE 50/2013 DEL 02/08/2013 (GU 279 DEL 28/11/2013) E DELIBERA CIPE 135/2012 DEL 21/12/2012 (GU 63 DEL 13/03/2013) COMUNE DI PREZZA (AQ)</t>
  </si>
  <si>
    <t>EROGAZIONE RISORSE FINALIZZATE ALLA RICOSTRUZIONE PRIVATA EX DELIBERA CIPE 23/2014, E DELIBERA CIPE 22/2015 - COMUNE DI COCULLO (AQ)</t>
  </si>
  <si>
    <t>EROGAZIONE FONDI PER LIQUIDAZIONE SPESE ARREDI A VALERE SULLA DELIBERA CIPE 135/2012-PROGETTO DEFINITIVO/ESECUTIVO INERENTE LA REALIZZAZIONE DI UN NUOVO EDIFICIO SCOLASTICO PER OSPITARE LA SCUOLA D'INFANZIA - INTERVENTO INDIVIDUATO NELL'ALLEGATO AL N. 24 DEL D.C.D. N. 89/2011 E AL N. 14 DELL'ALLEGATO RIMODULATO DI CUI ALLA DELIBERA CIPE N. 85/2013 - CUP G99H12000660005 - CIG 6292731DE2 - PROTOCOLLO NORMALIZZATO - AQ - CPT - OOPP - 04634 - COMUNE DI CAPITIGNANO (AQ)</t>
  </si>
  <si>
    <t>EROGAZIONE RISORSE FINALIZZATE ALLA RICOSTRUZIONE PRIVATA EX DELIBERA CIPE 23/2014, E DELIBERA CIPE 22/2015 - COMUNE DI FONTECCHIO (AQ)</t>
  </si>
  <si>
    <t>EROGAZIONE RISORSE FINALIZZATE ALLA RICOSTRUZIONE PRIVATA EX DELIBERA CIPE 23/2014, E DELIBERA CIPE 22/2015 - COMUNE DI PIZZOLI (AQ)</t>
  </si>
  <si>
    <t>EROGAZIONE FONDI PER LIQUIDAZIONE SPESE GEOLOGICHE RELATIVE AI LAVORI DI MESSA IN SICUREZZA DELLA CAPPELLA CAPPELLI - COMUNE DI SAN DEMETRIO NE' VESTINI (AQ)</t>
  </si>
  <si>
    <t>EROGAZIONE FONDI PER SPESE TECNICHE - PROGETTO DEFINITIVO RELATIVO ALL'INTERVENTO DI RIPRISTINO E MIGLIORAMENTO DELL'EDIFICIO DI PROPRIETÀ COMUNALE SITO IN CASTEL DEL MONTE (AQ)</t>
  </si>
  <si>
    <t>CODFIN CIPE135a1c3</t>
  </si>
  <si>
    <t>EROGAZIONE RISORSE FINALIZZATE ALLA RICOSTRUZIONE PRIVATA EX DELIBERA CIPE 23/2014, E DELIBERA CIPE 22/2015 - COMUNE DI ACCIANO (AQ)</t>
  </si>
  <si>
    <t>EROGAZIONE RISORSE FINALIZZATE ALLA RICOSTRUZIONE PRIVATA EX DELIBERA CIPE 23/2014, E DELIBERA CIPE 22/2015 - COMUNE DI CAPORCIANO (AQ)</t>
  </si>
  <si>
    <t>ACQUISIZIONE DOCUMENTAZIONE PER RENDICONTAZIONE II RATA, TRASFERIMENTO FONDI PER COPERTURA SALDO ED ACCERTAMENTO ECONOMIE RELATIVI ALLA ATTUAZIONE DI INTERVENTI IN MATERIA DI EDILIZIA SCOLASTICA - PROVINCIA DI TERAMO - I.T.C.P. "B. PASCAL" SITO IN VIA BAFILE. INTERVENTO INDIVIDUATO AL N. 141 DELL'ALLEGATO RIMODULATO APPROVATO CON DELIBERA N. 85/2013.</t>
  </si>
  <si>
    <t>TRASFERIMENTO FONDI A VALERE SULLA DELIBERA CIPE 135/2012 - EROGAZIONE SPESE TECNICHE - PROGETTO DI SOSTITUZIONE EDILIZIA DEL COMPLESSO SCOLASTICO IN MONTEREALE CAPOLUOGO OSPITANTE LA SCUOLA ELEMENTARE E MEDIA - COMUNE DI MONTEREALE (AQ) - CUP - I83D13000250005 DEL 28/11/2013, PROTOCOLLO NORMALIZZATO: AQ-MON-OOPP-04433</t>
  </si>
  <si>
    <t>EROGAZIONE FONDI PER SPESE GEOLOGICHE RELATIVE AL PROGETTO DI LAVORI DI RECUPERO E RISTRUTTURAZIONE DELL'EDIFICIO EX SCUOLA ELEMENTARE "L. VOLPICELLI" DA DESTINARE A NUOVA SEDE COMUNALE - COMUNE DI SAN DEMETRIO NE' VESTINI (AQ)</t>
  </si>
  <si>
    <t>EROGAZIONE SOMME A SALDO PER INTERVENTO DI "LAVORI DI MANUTENZIONE STRAORDINARIA DEI M.A.P. 2, 21 E 27- VILLAGGIO FULIANA" COMUNE DI FONTECCHIO (AQ)</t>
  </si>
  <si>
    <t>EROGAZIONE SOMME A SALDO PER PROGETTO DEFINITIVO-ESECUTIVO E ASSEGNAZIONE PROGRAMMATICA FINANZIAMENTO "LAVORI DI MANUTENZIONE STRAORDINARIA DEI M.A.P. EST N. 11, 12, 14 E MAP OVEST N. 21, 55, 72 - FRAZIONE CASTELNUOVO - COMUNE DI SAN PIO DELLE CAMERE (AQ)</t>
  </si>
  <si>
    <t>EROGAZIONE FONDI PER LIQUIDAZIONE SAL FINALE RELATIVO AL PROGETTO DEFINITIVO/ESECUTIVO DI LAVORI DI REALIZZAZIONE DI UN CENTRO POLIFUNZIONALE MEDIANTE RICONVERSIONE EX MATTATOIO - COMUNE DI MONTEBELLO DI BERONA (PE)</t>
  </si>
  <si>
    <t>EROGAZIONE FONDI CONNESSI AL IV SAL RELATIVO AL PROGETTO DEFINITIVO E DELLA SPESA PER L'INTERVENTO DI RIPARAZIONE DELL'EDIFICIO COMUNALE POLIVALENTE "PALAZZO TINOZZI" DEL COMUNE DI CUGNOLI (PE)</t>
  </si>
  <si>
    <t>APPROVAZIONE PROGETTO (PRIMO STRALCIO) E PRIMO TRASFERIMENTO PER INTERVENTO INSERITO NEL PIANO DEGLI INTERVENTI "SCUOLE D'ABRUZZO - IL FUTURO IN SICUREZZA" - (ATTUAZIONE DEGLI INTERVENTI IN MATERIA DI EDILIZIA SCOLASTICA PREVISTI NELL'ALLEGATO AL D.C.D. N. 89 DEL 27 DICEMBRE 2011) - SCUOLA MEDIA "B. CROCE", VIA G. MARCONI - CIVITELLA CASANOVA (PE)- INTERVENTO INDICATO AL N. 109 DELL'ALLEGATO AL D.C.D. N. 89/2011 CUP B61E14000090001 - PROTOCOLLO NORMALIZZATO PE-CVC-OOPP-01439</t>
  </si>
  <si>
    <t>COMUNE DI CAMPLI</t>
  </si>
  <si>
    <t>CF 80005970670</t>
  </si>
  <si>
    <t>EROGAZIONE FONDI PER INTERVENTI DI RICOSTRUZIONE PRIVATA "FUORI CRATERE" EX DELIBERA CIPE 22/2015 DEL 20/02/2015 (GU 140 DEL 19/06/2015), COMUNE DI CAMPLI (TE)</t>
  </si>
  <si>
    <t>EROGAZIONE FONDI PER INTERVENTI DI RICOSTRUZIONE PRIVATA "FUORI CRATERE" EX DELIBERA CIPE 22/2015 DEL 20/02/2015 (GU 140 DEL 19/06/2015) -COMUNE DI SCAFA (PE)</t>
  </si>
  <si>
    <t>EROGAZIONE RISORSE FINALIZZATE ALLA RICOSTRUZIONE PRIVATA EX DELIBERA CIPE 135/2012, DELIBERA CIPE 23/2014, E DELIBERA CIPE 22/2015 - COMUNE DI BUSSI SUL TIRINO (PE)</t>
  </si>
  <si>
    <t>COMUNE DI COLLELONGO</t>
  </si>
  <si>
    <t>CF 00190850669</t>
  </si>
  <si>
    <t>ACQUISIZIONE DOCUMENTAZIONE ATTA ALLA RENDICONTAZIONE SECONDO TRASFERIMENTO E TERZO TRASFERIMENTO FONDI PER ATTUAZIONE INTERVENTI IN MATERIA DI EDILIZIA SCOLASTICA. COMUNE DI COLLELONGO (AQ). SCUOLA MEDIA ELEMENTARE E MATERNA - INTERVENTO INDIVIDUATO NELL'ALLEGATO AL D.C.D. N. 89/2011 NELL'ELENCO RELATIVO AL III° PIANO DI INTERVENTI IN MATERIA DI EDILIZIA SCOLASTICA DI CUI ALLA DELIBERA CIPE N.47/2009 CUP D97E13000380001 - PROTOCOLLO NORMALIZZATO AQ-CLL-OOPP-04306</t>
  </si>
  <si>
    <t>APPROVAZIONE PROGETTO E PRIMO TRASFERIMENTO PER INTERVENTO INSERITO NEL PIANO DEGLI INTERVENTI "SCUOLE D'ABRUZZO - IL FUTURO IN SICUREZZA" - (ATTUAZIONE DEGLI INTERVENTI IN MATERIA DI EDILIZIA SCOLASTICA PREVISTI NELL'ALLEGATO AL D.C.D. N. 89 DEL 27 DICEMBRE 2011) - REALIZZAZIONE DI UN NUOVO "POLO SCOLASTICO" (INTERVENTO INDIVIDUATO AL N. 52 DELL'ALL. AL D.C.D. N. 89/2011 E AL N. 45 DELL'ALL. RIMODULATO APPROVATO CON DELIBERA N. 85/2013) CUP D98E16000000001 - PROTOCOLLO NORMALIZZATO AQ-PRP-OOPP-04892 COMUNE DI PRATOLA PELIGNA (AQ)</t>
  </si>
  <si>
    <t>EROGAZIONE SPESE A SALDO DELLE SPESE TECNICHE E SALDO DEI LAVORI RELATIVI AL PROGETTO DEFINITIVO/ESECUTIVO DI REALIZZAZIONE DI LOCALE AGGREGATIVO E DI TRIBUNA PER IMPIANTI SPORTIVI - COMUNE DI VILLA SANT'ANGELO (AQ)</t>
  </si>
  <si>
    <t>COMUNE DI VILLA CELIERA</t>
  </si>
  <si>
    <t>CF 00230080681</t>
  </si>
  <si>
    <t>EROGAZIONE FONDI PER INTERVENTI DI RICOSTRUZIONE PRIVATA COMUNI "FUORI CRATERE" EX DELIBERA CIPE 22/2015 DEL 20/02/2015 (GU 140 DEL 19/06/2015), COMUNE DI VILLA CELIERA (PE)</t>
  </si>
  <si>
    <t>EROGAZIONE RISORSE FINALIZZATE ALLA RICOSTRUZIONE PRIVATA EX DELIBERA CIPE 23/2014, E DELIBERA CIPE 22/2015 - COMUNE DI SAN DEMETRIO NE' VESTINI (AQ)</t>
  </si>
  <si>
    <t>COMUNE DI LETTOMANOPPELLO</t>
  </si>
  <si>
    <t>CF 00254240682</t>
  </si>
  <si>
    <t>EROGAZIONE FONDI PER INTERVENTI DI RICOSTRUZIONE PRIVATA COMUNI "FUORI CRATERE" EX DELIBERA CIPE 22/2015 DEL 20/02/2015 (GU 140 DEL 19/06/2015) - OMUNE DI LETTOMANOPPELLO (PE)</t>
  </si>
  <si>
    <t>COMUNE DI BOLOGNANO</t>
  </si>
  <si>
    <t>CF 00170370688</t>
  </si>
  <si>
    <t>EROGAZIONE FONDI PER INTERVENTI DI RICOSTRUZIONE PRIVATA COMUNI "FUORI CRATERE" EX DELIBERA CIPE 22/2015 DEL 20/02/2015 (GU 140 DEL 19/06/2015) - COMUNE DI BOLOGNANO (PE)</t>
  </si>
  <si>
    <t>EROGAZIONE SOMME A SALDO DELLE SPESE TECNICHE RELATIVE AL PROGETTO DEFINITIVO - ESECUTIVO E ASSEGNAZIONE PROGRAMMATICA FINANZIAMENTO "LAVORI DI MANUTENZIONE STRAORDINARIA DEI M.A.P. EST N.11, 12, 14 E MAP OVEST N.21, 55, 72 - FRAZIONE CASTELNUOVO - COMUNE DI SAN PIO DELLE CAMERE (AQ)</t>
  </si>
  <si>
    <t>LIQUIDAZIONE SOMME A SALDO CORRELATE AL PROGETTO PRELIMINARE RELATIVO AI "LAVORI DI MESSA IN SICUREZZA NELLA GESTIONE ORDINARIA POST SISMA, FABBRICATO CENSITO AL FG. 10 PART. 264-265-266-267-269-270 - VIA DEL CASTAGNETO" - COMUNE DI SCOPPITO (AQ)</t>
  </si>
  <si>
    <t>EROGAZIONE ONORARI TECNICI RELATIVI AL COORDINAMENTO SICUREZZA CORRELATI AL PROGETTO DEFINITIVO-ESECUTIVO PER LAVORI DI RIPARAZIONE DAI DANNI CAUSATI DAL TERREMOTO DELL'APRILE 2009 PRESSO IL CIMITERO DEL CAPOLUOGO II STRALCIO - MONTORIO AL VOMANO (TE)</t>
  </si>
  <si>
    <t>COMUNE DI POGGIO PICENZE</t>
  </si>
  <si>
    <t>CF 00210400669</t>
  </si>
  <si>
    <t>EROGAZIONE COMPETENZE TECNICHE E LIQUIDAZIONE I SAL PER LAVORI DI MESSA IN SICUREZZA E RIMOZIONE AMIANTO IN VIA COSTARELLA - COMUNE DI POGGIO PICENZE (AQ)</t>
  </si>
  <si>
    <t>RENDICONTAZIONE CO.CO.CO. (GENNAIO - DICEMBRE 2015)</t>
  </si>
  <si>
    <t>RENDICONTAZIONE CO.CO.CO. (GIUGNO, LUGLIO 2017)</t>
  </si>
  <si>
    <t>RENDICONTAZIONE CO.CO.CO. ( GENNAIO - MAGGIO 2017)</t>
  </si>
  <si>
    <t>RENDICONTAZIONE CO.CO.CO. (MAGGIO - SETTEMBRE 2017)</t>
  </si>
  <si>
    <t>RENDICONTAZIONE CO.CO.CO. (GIUGNO E LUGLIO 2017)</t>
  </si>
  <si>
    <t>RENDICONTAZIONE CO.CO.CO. (MARZO, APRILE, MAGGIO 2017)</t>
  </si>
  <si>
    <t>RENDICONTAZIONE CO.CO.CO. (GENNAIO - AGOSTO 2017)</t>
  </si>
  <si>
    <t>RENDICONTAZIONE CO.CO.CO. (FEBBRAIO - SETTEMBRE 2017)</t>
  </si>
  <si>
    <t>RENDICONTAZIONE CO.CO.CO. (GENNAIO - LUGLIO 2017)</t>
  </si>
  <si>
    <t>RENDICONTAZIONE CO.CO.CO. (GENNAIO-GIUGNO 2017)</t>
  </si>
  <si>
    <t>RENDICONTAZIONE CO.CO.CO. (GENNAIO - MARZO 2017)</t>
  </si>
  <si>
    <t>EROGAZIONE FONDI PER REDAZIONE PIANO DI RICOSTRUZIONE MONTORIO AL VOMANO</t>
  </si>
  <si>
    <t>CONTRIBUTO AUTONOMA SISTEMAZIONE (LUGLIO, AGOSTO 2017)</t>
  </si>
  <si>
    <t>CONTRIBUTO AUTONOMA SISTEMAZIONE (APRILE - AGOSTO 2017)</t>
  </si>
  <si>
    <t>CONTRIBUTO AUTONOMA SISTEMAZIONE (NOVEMBRE, DICEMBRE 2016 - GENNAIO FEBBRAIO, LUGLIO , AGOSTO, SETTEMBRE 2017)</t>
  </si>
  <si>
    <t>CONTRIBUTO AUTONOMA SISTEMAZIONE (APRILE - GIUGNO 2017)</t>
  </si>
  <si>
    <t>CONTRIBUTO AUTONOMA SISTEMAZIONE (LUGLIO-AGOSTO 2017)</t>
  </si>
  <si>
    <t>CONTRIBUTO AUTONOMA SISTEMAZIONE (NOVEMBRE 2015 - AGOSTO 2016)</t>
  </si>
  <si>
    <t>CONTRIBUTO AUTONOMA SISTEMAZIONE (GENNAIO - LUGLIO 2017)</t>
  </si>
  <si>
    <t>CONTRIBUTO AUTONOMA SISTEMAZIONE (AGOSTO E SETTEMBRE 2017)</t>
  </si>
  <si>
    <t>CONTRIBUTO AUTONOMA SISTEMAZIONE (AGOSTO, SETTEMBRE 2017)</t>
  </si>
  <si>
    <t>CONTRIBUTO AUTONOMA SISTEMAZIONE (LUGLIO E AGOSTO 2017)</t>
  </si>
  <si>
    <t>CONTRIBUTO AUTONOMA SISTEMAZIONE (APRILE - NOVEMBRE 2016, GIUGNO -AGOSTO 2017)</t>
  </si>
  <si>
    <t>CONTRIBUTO AUTONOMA SISTEMAZIONE (GIUGNO - AGOSTO 2017)</t>
  </si>
  <si>
    <t>CONTRIBUTO AUTONOMA SISTEMAZIONE (INTEGRAZIONE 2016)</t>
  </si>
  <si>
    <t>CONTRIBUTO AUTONOMA SISTEMAZIONE (NOVEMBRE 2016 - AGOSTO 2017)</t>
  </si>
  <si>
    <t>EROGAZIONE FONDI PER INTERVENTI DI RICOSTRUZIONE PRIVATA COMUNI "FUORI CRATERE" EX DELIBERA CIPE 22/2015 DEL 20/02/2015 (GU 140 DEL 19/06/2015), COMUNE DI PIETRANICO (PE)</t>
  </si>
  <si>
    <t>EROGAZIONE FONDI PER REDAZIONE PIANO DI RICOSTRUZIONE CAGNANO AMITERNO</t>
  </si>
  <si>
    <t>COMUNE DI CIVITAQUANA</t>
  </si>
  <si>
    <t>CF 80001190687</t>
  </si>
  <si>
    <t>EROGAZIONE FONDI PER INTERVENTI DI RICOSTRUZIONE PRIVATA COMUNI "FUORI CRATERE" EX DELIBERA CIPE 22/2015 DEL 20/02/2015 (GU 140 DEL 19/06/2015) - COMUNE DI CIVITAQUANA (PE)</t>
  </si>
  <si>
    <t>EROGAZIONE FONDI II SAL RELATIVA AL PROGETTO DEFINITIVO/ESECUTIVO RELATIVO ALL'INTERVENTO DI RIPARAZIONE EDILIZIA CIMITERIALE UBICATA NEL COMUNE DI GORIANO SICOLI (AQ)</t>
  </si>
  <si>
    <t>EROGAZIONE FONDI ACCONTO SUPPORTO AL RUP PER INTERVENTO DI MESSA IN SICUREZZA DEL COSTONE PROSPICENTE IL PLESSO SCOLASTICO A. DE GASPERI, ATTRAVERSO IL CONSOLIDAMENTO E LA RIQUALIFICAZIONE - COMUNE DI MONTEBELLO DI BERTONA (PE)</t>
  </si>
  <si>
    <t>EROGAZIONE FONDI SECONDO ACCONTO SPESE TECNICHE PER INTERVENTO DI MESSA IN SICUREZZA DEL COSTONE PROSPICENTE IL PLESSO SCOLASTICO A. DE GASPERI, ATTRAVERSO IL CONSOLIDAMENTO E LA RIQUALIFICAZIONE - COMUNE DI MONTEBELLO DI BERTONA (PE)</t>
  </si>
  <si>
    <t>EROGAZIONE FONDI PER INTERVENTI DI RICOSTRUZIONE PRIVATA COMUNI "FUORI CRATERE" EX DELIBERA CIPE 22/2015 DEL 20/02/2015 (GU 140 DEL 19/06/2015) - COMUNE DI BISENTI (TE)</t>
  </si>
  <si>
    <t>EROGAZIONE FONDI TERZO TRASFERIMENTO PER ATTUAZIONE INTERVENTI IN MATERIA DI EDILIZIA SCOLASTICA. - NUOVA COSTRUZIONE DI UN COMPLESSO SCOLASTICO DESTINATO AD OSPITARE LA SCUOLA DELL'INFANZIA E PRIMARIA. INTERVENTO INDIVIDUATO AL N.21 DELL'ALLEGATO AL D.C.D. N.89/2011, CUP: G99H120000470002, CIG: 5905556AF8, PROTOCOLLO NORMALIZZATO: AQ-BGN-OOPP-03938 - COMUNE DI BUGNARA (AQ)</t>
  </si>
  <si>
    <t>EROGAZIONE RISORSE FINALIZZATE ALLA RICOSTRUZIONE PRIVATA EX DELIBERA CIPE 23/2014, E DELIBERA CIPE 22/2015 - COMUNE DI CASTEL DEL MONTE (AQ)</t>
  </si>
  <si>
    <t>EROGAZIONE RISORSE FINALIZZATE ALLA RICOSTRUZIONE PRIVATA EX DELIBERA CIPE 23/2014, E DELIBERA CIPE 22/2015 - COMUNE DI NAVELLI (AQ</t>
  </si>
  <si>
    <t>EROGAZIONE FONDI A SALDO RELATIVO AL PROGETTO ESECUTIVO CORRELATO AI LAVORI DI RIPARAZIONE DEI DANNI CAUSATI DAL SISMA DEL 06/04/2009 E RISTRUTTURAZIONE EDILE ED IMPIANTISTICA INTERNA DELL'EDIFICIO SCOLASTICO SITO SULLA S.S.N. 577 - I LOTTO - COMUNE DI CAMPOTOSTO (AQ)</t>
  </si>
  <si>
    <t>EROGAZIONE FONDI STATO FINALE - EROGAZIONE LAVORI E SPESE TECNICHE PROGETTAZIONE RELATIVE AL PROGETTO PRELIMINARE CORRELATO ALLA REALIZZAZIONE DELL'INTERVENTO DI MESSA IN SICUREZZA DI VIA SAN GIOVANNI - COMUNE DI OFENA (AQ)</t>
  </si>
  <si>
    <t>COMUNE DI ISOLA DEL GRAN SASSO</t>
  </si>
  <si>
    <t>EROGAZIONE FONDI PER INTERVENTI DI RICOSTRUZIONE PRIVATA COMUNI "FUORI CRATERE" EX DELIBERA CIPE 22/2015 DEL 20/02/2015 (GU 140 DEL 19/06/2015) - COMUNE DI ISOLA DEL GRAN SASSO (TE)</t>
  </si>
  <si>
    <t>EROGAZIONE FONDI SAL FINALE RELATIVO AL PROGETTO DEFINITIVO-ESECUTIVO "INTERVENTO DI CONSOLIDAMENTO SPERONE CONGLOMERATICO" - COMUNE DI MONTEBELLO DI BERTONA (PE)</t>
  </si>
  <si>
    <t>EROGAZIONE FONDI PER INTERVENTI DI RICOSTRUZIONE PRIVATA COMUNI "FUORI CRATERE" EX DELIBERA CIPE 22/2015 DEL 20/02/2015 (GU 140 DEL 19/06/2015) COMUNE DI SULMONA (AQ)</t>
  </si>
  <si>
    <t>COMUNE DI CITTÀ SANT'ANGELO</t>
  </si>
  <si>
    <t>CF 00063640684</t>
  </si>
  <si>
    <t>EROGAZIONE FONDI PER INTERVENTI DI RICOSTRUZIONE PRIVATA COMUNI "FUORI CRATERE" EX DELIBERA CIPE 22/2015 DEL 20/02/2015 (GU 140 DEL 19/06/2015) COMUNE DI CITTÀ SANT'ANGELO (PE)</t>
  </si>
  <si>
    <t>CODFIN CIPE22art2c3</t>
  </si>
  <si>
    <t>EROGAZIONE FONDI PER INTERVENTI DI RICOSTRUZIONE PRIVATA COMUNI "FUORI CRATERE" EX DELIBERA CIPE 22/2015 DEL 20/02/2015 (GU 140 DEL 19/06/2015) COMUNE DI CORTINO (TE)</t>
  </si>
  <si>
    <t>EROGAZIONE FONDI PER INTERVENTI DI RICOSTRUZIONE PRIVATA COMUNI "FUORI CRATERE" EX DELIBERA CIPE 22/2015 DEL 20/02/2015 (GU 140 DEL 19/06/2015), COMUNE DI ATRI (TE)</t>
  </si>
  <si>
    <t>EROGAZIONE FONDI IV SAL A VALERE SU DELIBERA CIPE 135/2012 - PROGETTO DEFINITIVO/ESECUTIVO INERENTE LA REALIZZAZIONE DI UN NUOVO EDIFICIO SCOLASTICO PER OSPITARE LA SCUOLA D'INFANZIA - INTERVENTO INDIVIDUATO NELL'ALLEGATO AL N.24 DEL D.C.D. N.89/2011 E AL N.14 DELL'ALLEGATO RIMODULATO DI CUI ALLA DELIBERA CIPE N.85/2013 - CUP G99H12000660005 - CIG 6292731DE2 - PROTOCOLLO NORMALIZZATO - AQ-CPT-00PP-04634 - COMUNE DI CAPITIGNANO (AQ)</t>
  </si>
  <si>
    <t>EROGAZIONE FONDI A SALDO: "RENDICONTAZIONE SPESE SOSTENUTE E PROGRAMMATE PER LA RICOSTRUZIONE IN SOMMA URGENZA DI N.9 ALLOGGI NEL COMUNE DI ACCIANO E FRAZIONI DI BEFFI E ROCCAPRETURO" - COMUNE DI ACCIANO (AQ)</t>
  </si>
  <si>
    <t>LIQUIDAZIONE STATO FINALE: INDAGINI GEO-ELETTRICHE E PERFORAZIONI E SONDAGGI (ABRUZZO GEOSONDA SAS) PER CAMPAGNA INDAGINI GEOTECNICHE, GEOLOGICHE E GEOFISICHE LOTTO 2 PROPEDEUTICHE ALLA MESSA IN SICUREZZA DELLE CAVITÀ SOTTERRANEE DI CASTELNUOVO - COMUNE DI SAN PIO DELLE CAMERE (AQ)</t>
  </si>
  <si>
    <t>ISTRUTTORIA EROGAZIONE SAL FINALE PER LAVORI DI MESSA IN SICUREZZA DELLA CABINA ENEL IN VIA DEL BRACCIO - FRAZIONE CASTELNUOVO - PROGETTO DEFINITIVO-ESECUTIVO - COMUNE DI SAN PIO DELLE CAMERE (AQ)</t>
  </si>
  <si>
    <t>LIQUIDAZIONE SOMME A SALDO PER INTERVENTO MANUTENZIONE STRAORDINARIA MAP PER DANNI DA AVVERSITÀ ATMOSFERICHE - COMUNE DI MONTEBELLO DI BERTONA (PE)</t>
  </si>
  <si>
    <t>LIQUIDAZIONE SUPPORTO AL R.U.P. - INTERVENTO DI MESSA IN SICUREZZA,DEMOLIZIONE DI PARTI PERICOLANTI DI EDIFICI DANNEGGIATI E RIMOZIONE DI MACERIE DALLA VIABILITA' PUBBLICA NEL BORGO DI CIVITARETENGA - COMUNE DI NAVELLI (AQ)</t>
  </si>
  <si>
    <t>LIQUIDAZIONE A SALDO DELLE PRESTAZIONI DI RUP E SOMME EX ART. 92 D. LGS. 163/2006 PER LAVORI DI MESSA IN SICUREZZA "INTERVENTO DI DEMOLIZIONE DI DUE EDIFICI SITI IN LOCALITÀ PIEDI IL VICOLO CENSITI AL N.C.E.U. DEL COMUNE DI BARETE FG. 9, PART. 848 - 850 - 914" - COMUNE DI BARETE (AQ)</t>
  </si>
  <si>
    <t>ACQUISIZIONE DELLA DOCUMENTAZIONE A RENDICONTAZIONE E QUARTO TRASFERIMENTO PER ATTUAZIONE INTERVENTI IN MATERIA DI EDILIZIA SCOLASTICA - SCUOLA MATERNA ED ELEMENTARE "L.DARD" - INTERVENTO INDIVIDUATO AL N. 44 DELL'ALLEGATO AL D.C.D. n. 89/2011, CUP C87E13000270001- CIG Z941E55D84 - PROTOCOLLO NORMALIZZATO AQ-OVI-OOPP-01157 - COMUNE DI OVINDOLI (AQ)</t>
  </si>
  <si>
    <t>EROGAZIONE FONDI PER INTERVENTI DI RICOSTRUZIONE PRIVATA COMUNI "FUORI CRATERE" EX DELIBERA CIPE 22/2015 DEL 20/02/2015 PUBBLICATA IN G.U. N °140 DEL 19/06/2015 - COMUNE DI TERAMO</t>
  </si>
  <si>
    <t>EROGAZIONE RISORSE FINALIZZATE ALLA RICOSTRUZIONE PRIVATA EX DELIBERA CIPE 23/2014, E DELIBERA CIPE 22/2015 - COMUNE DI SANT'EUSANIO FORCONESE (AQ)</t>
  </si>
  <si>
    <t>LIQUIDAZIONE SOMME STATO FINALE RELATIVE AL PROGETTO DI MESSA IN SICUREZZA E DEMOLIZIONE DI EDIFICI DI CIVILE ABITAZIONE SITI IN SAN FELICE D'OCRE - COMUNE DI OCRE (AQ)</t>
  </si>
  <si>
    <t>LIQUIDAZIONE SAL N.1 PER "LAVORI DI MESSA IN SICUREZZA DI IMMOBILI PRIVATI CHE PREGIUDICANO LA PUBBLICA INCOLUMITA' IN VILLA PETTO" - COMUNE DI COLLEDARA (TE)</t>
  </si>
  <si>
    <t>LIQUIDAZIONE FONDI II SAL RELATIVO AL PROGETTO DEFINITIVO CORRELATO AI LAVORI DI RISTRUTTURAZIONE DELL'EDIFICIO EX SCUOLA LOLA DI STEFANO - COMUNE DI BUSSI SUL TIRINO (PE)</t>
  </si>
  <si>
    <t>EROGAZIONE FONDI SAL UNICO PER LAVORI DI MANUTENZIONE STRAORDINARIA MAP - COMUNE DI GORIANO SICOLI (AQ)</t>
  </si>
  <si>
    <t>EROGAZIONE FONDI PER LIQUIDAZIONE II SAL E SPESE TECNICHE RELATIVI AL PROGETTO DEFINITIVO -ESECUTIVO DI REALIZZAZIONE INTERVENTI PRIORITARI E NECESSARI PER ASSICURARE L'ACCESSIBILITA' E LA FUNZIONALITA' DELLE STRUTTURE CIMITERIALI DEL COMUNE DI COCULLO (AQ)</t>
  </si>
  <si>
    <t>LIQUIDAZIONE I SAL RELATIVO ALL'INTERVENTO DI RIPARAZIONE POST SISMA DELL'EX MATTATOIO COMUNALE DI SAN DEMETRIO NE' VESTINI (AQ)</t>
  </si>
  <si>
    <t>APPROVAZIONE SPESA E PRIMO TRASFERIMENTO PER INTERVENTO INSERITO NEL PIANO "SCUOLE D'ABRUZZO - IL FUTURO IN SICUREZZA" - (ATTUAZIONE DEGLI INTERVENTI IN MATERIA DI EDILIZIA SCOLASTICA PREVISTI NELL'ALLEGATO AL D.C.D. N.89 DEL 27/12/2011) - REALIZZAZIONE DEL NUOVO EDIFICIO SCOLASTICO IN VIA ITALIA. INTERVENTO INDIVIDUATO AL N.110 DELL'ALLEGATO AL D.C.D. N.89/2011, CUP: C94B13000260001 - PROTOCOLLO NORMALIZZATO: PE-CUG-OOPP-04348 - COMUNE DI CUGNOLI (PE)</t>
  </si>
  <si>
    <t>TRASFERIMENTO FONDI A VALERE SULLA DELIBERA CIPE 135/2012 - EROGAZIONE FONDI - PROGETTO DI SOSTITUZIONE EDILIZIA DEL COMPLESSO SCOLASTICO SITO IN MONTEREALE CAPOLUOGO OSPITANTE LA SCUOLA ELEMENTARE E MEDIA - COMUNE DI MONTEREALE (AQ) - CUP - I83D13000250005 DEL 28/11/2013, PROTOCOLLO NORMALIZZATO: AQ-MON-OOPP-04433</t>
  </si>
  <si>
    <t>EROGAZIONE I SAL PER LAVORI DI MESSA IN SICUREZZA "REVISIONE DEL PUNTELLAMENTO IN CORSO VITTORIO EMANUELE" - COMUNE DI ARSITA (TE)</t>
  </si>
  <si>
    <t>LIQUIDAZIONE SOMME A SALDO PER INTERVENTO DI MESSA IN SICUREZZA FABBRICATO IN VILLA GRANDE ALL'INTERNO DELL'AGGREGATO N. 25 - PIAZZETTA CAIONE - VIA INFERIORE, FG. 18 PART. 773. COMUNE DI SAN DEMETRIO NE' VESTINI (AQ)</t>
  </si>
  <si>
    <t>LIQUIDAZIONE SOMME A SALDO - RENDICONTAZIONE - INTERVENTO DI "LAVORI MESSA IN SICUREZZA MURO DI CONTENIMENTO IN VIA DELLA RIMEMBRANZA - O.S. N. 143 DEL 23 OTTOBRE 2010" - COMUNE DI SAN DEMETRIO NE' VESTINI (AQ)</t>
  </si>
  <si>
    <t>LIQUIDAZIONE SOMME A SALDO SPESE TECNICHE E RUP RELATIVE AL PROGETTO DEFINITIVO-ESECUTIVO PER INTERVENTO POST-SISMA SU UN EDIFICIO ADIBITO AD ABITAZIONE (ESITO DI AGIBILITA' "B") SITO IN VIA ROMA FG.7, PART.1641, SUB 2-3 COMUNE DI GORIANO SICOLI (AQ) - COMPLEMENTO AI LAVORI DEL I E II LOTTO</t>
  </si>
  <si>
    <t>LIQUIDAZIONE SOMME A SALDO RELATIVE AI LAVORI DI RIPRISTINO POST-SISMA DEL CAMPEGGIO COMUNALE - COMUNE DI CASTEL DEL MONTE (AQ)</t>
  </si>
  <si>
    <t>EROGAZIONE FONDI PER LIQUIDAZIONE I SAL RELATIVO AL PROGETTO DI LAVORI DI RECUPERO E RISTRUTTURAZIONE DELL'EDIFICIO EX SCUOLA ELEMENTARE "L. VOLPICELLI" DA DESTINARE A NUOVA SEDE COMUNALE - COMUNE DI SAN DEMETRIO NE' VESTINI (AQ)</t>
  </si>
  <si>
    <t>ACQUISIZIONE DOCUMENTAZIONE ATTA ALLA RENDICONTAZIONE DEL PRIMO TRASFERIMENTO PER L'EROGAZIONE FONDI SECONDO TRASFERIMENTO PER ATTUAZIONE INTERVENTI IN MATERIA DI EDILIZIA SCOLASTICA. COSTRUZIONE NUOVA SCUOLA ELEMENTARE. INTERVENTO INDIVIDUATO AL N. 28 DELL'ALLEGATO AL D.C.D. N. 89/20011, CUP: G24B13000290003 - CIG: 5622581C9C - PROTOCOLLO NORMALIZZATO: AQ-CLN-OOPP-04504 - COMUNE DI CELANO (AQ)</t>
  </si>
  <si>
    <t>EROGAZIONE FONDI PER INTERVENTI DI RICOSTRUZIONE PRIVATA COMUNI "FUORI CRATERE" EX DELIBERA CIPE 22/2015 DEL 20/02/2015 (GU 140 DEL 19/06/2015) - COMUNE DI MANOPPELLO (PE)</t>
  </si>
  <si>
    <t>EROGAZIONE RISORSE FINALIZZATE ALLA RICOSTRUZIONE PRIVATA EX DELIBERA CIPE 23/2014, E DELIBERA CIPE 22/2015 - COMUNE DI TIONE DEGLI ABRUZZI (AQ)</t>
  </si>
  <si>
    <t>EROGAZIONE RISORSE FINALIZZATE ALLA RICOSTRUZIONE PRIVATA EX DELIBERA CIPE 23/2014, E DELIBERA CIPE 22/2015 - COMUNE DI CIVITELLA CASANOVA (PE)</t>
  </si>
  <si>
    <t>CODFIN CIPE113/2015</t>
  </si>
  <si>
    <t>COMUNE DI ROCCA DI BOTTE</t>
  </si>
  <si>
    <t>CF 00181800665</t>
  </si>
  <si>
    <t>APPROVAZIONE DELLA SPESA ED EROGAZIONE FONDI I RATA. INTERVENTO DI EDILIZIA SCOLASTICA COMUNE DI ROCCA DI BOTTE (AQ). "SCUOLA ELEMENTARE " INTERVENTO INDIVIDUATO AL N. 55 DELL'ALLEGATO ELENCO DECRETO N. 89/2011, RIMODULATO CON DELIBERA CIPE N. 85/2013 AL N. 48 DELL'ALLEGATO. CUP C59C03000010006 - PROTOCOLLO NORMALIZZATO AQ-RDB-OOPP-04313</t>
  </si>
  <si>
    <t>ACQUISIZIONE DOCUMENTAZIONE, ATTA ALLA RENDICONTAZIONE TERZO TRASFERIMENTO, E QUARTO TRASFERIMENTO FONDI PER ATTUAZIONE INTERVENTI IN MATERIA DI EDILIZIA SCOLASTICA.COMUNE DI COLLELONGO (AQ). SCUOLA MEDIA ELEMENTARE E MATERNA - INTERVENTO INDIVIDUATO NELL'ALLEGATO AL D.C.D. N. 89/2011 NELL'ELENCO RELATIVO AL III° PIANO DI INTERVENTI IN MATERIA DI EDILIZIA SCOLASTICA DI CUI ALLA DELIBERA CIPE N. 47/2009 CUP D97E13000380001 - PROTOCOLLO NORMALIZZATO AQ-CLL-OOPP-04306</t>
  </si>
  <si>
    <t>EROGAZIONE FONDI I SAL CORRELATO AL PROGETTO DEFINITIVO "LAVORI DI RIFACIMENTO DELLA COPERTURA DEL TETTO DELL'EX EDIFICIO SCOLASTICO" - COMUNE DI CASTEL DEL MONTE (AQ)</t>
  </si>
  <si>
    <t>LIQUIDAZIONE SOMME A SALDO CORRELATE Al PROGETTO DEFINITIVO LAVORI DI RISTRUTTURAZIONE DEL COLONNATO DI UN LOCULARIO E DEL RELATIVO PIAZZALE SITO NEL CIMITERO DI CASTEL DEL MONTE (AQ)</t>
  </si>
  <si>
    <t>TRASFERIMENTO SOMME A SALDO DEI LAVORI E DELLE SPESE TECNICHE RELATIVE AL PROGETTO DEFINITIVO PER LA MESSA IN SICUREZZA RELATIVA AL MURO DI SOSTEGNO SITO IN VIA DELLA CROCE NUOVA E DEL MURO DI CONTENIMENTO SITO IN PIAZZETTA DELLE MURA UBICATI NEL COMUNE DI CASTEL DEL MONTE (AQ)</t>
  </si>
  <si>
    <t>LIQUIDAZIONE SAL FINALE, SPESE TECNICHE, RUP E SUPPORTO AL RUP RELATIVI AI LAVORI DI RIPRISTINO E MANUTENZIONE IMMOBILI DI EDILIZIA ECONOMICA E POPOLARE (ERP) IN VIA RIMEMBRANZA N. 24 - COMUNE DI CIVITELLA CASANOVA (PE)</t>
  </si>
  <si>
    <t>EROGAZIONE RISORSE FINALIZZATE ALLA RICOSTRUZIONE PRIVATA EX DELIBERA CIPE 23/2014, E DELIBERA CIPE 22/2015 - COMUNE DI SAN PIO DELLE CAMERE (AQ)</t>
  </si>
  <si>
    <t>APPROVAZIONE DELLA SPESA E TRASFERIMENTO FONDI PER ATTUAZIONE INTERVENTI IN MATERIA DI EDILIZIA SCOLASTICA -INTERVENTO INDIVIDUATO AL N. 42 DELL'ALLEGATO AL D.C.D. N. 89/2011, CUP E51E12000060004 - CIG ZB30634BD6 - PROTOCOLLO NORMALIZZATO AQ-ORC-OOPP-05040 - COMUNE DI ORICOLA (AQ)</t>
  </si>
  <si>
    <t>APPROVAZIONE DELLA SPESA ED EROGAZIONE FONDI PER ATTUAZIONE DI INTERVENTI IN MATERIA DI EDILIZIA SCOLASTICA.PROVINCIA DI TERAMO.LICEO CLASSICO "M.DELFICO".INTERVENTO INDIVIDUATO AL N. 171 DELL'ALLEGATO AL D.C.D. N. 89/2011,CUP E44H14000050001-PROTOCOLLO NORMALIZZATO: TE-PROVTE-OOPP-04683</t>
  </si>
  <si>
    <t>CF 000173390667</t>
  </si>
  <si>
    <t>EROGAZIONE FONDI PER INTERVENTI DI RICOSTRUZIONE PRIVATA COMUNI "FUORI CRATERE" EX DELIBERA CIPE 22/2015, 50/2013 E 135/2012 - COMUNE DI PRATOLA PELIGNA (AQ)</t>
  </si>
  <si>
    <t>EROGAZIONE RISORSE FINALIZZATE ALLA RICOSTRUZIONE PRIVATA EX DELIBERA CIPE 23/2014, E DELIBERA CIPE 22/2015 - COMUNE DI PRATA D'ANSIDONIA (AQ)</t>
  </si>
  <si>
    <t>CODFIN CIPE135/2012 CIPE22/2015 CIPE113/2015</t>
  </si>
  <si>
    <t>TRASFERIMENTO FONDI PER SPESE DI PROGETTAZIONE RELATIVE ALL'ATTUAZIONE INTERVENTI IN MATERIA DI EDILIZIA SCOLASTICA.COMUNE DI SAN DEMETRIO NE' VESTINI (AQ). - "SCUOLA ELEMENTARE E MEDIA F.ROSSI". INTERVENTO INDIVIDUATO AL N. 54 DELL'ALLEGATO AL D.C.D. N. 89/2011 CUP J31E1500010000 - PROTOCOLLO NORMALIZZATO AQ-SDV-OOPP-04501</t>
  </si>
  <si>
    <t>EROGAZIONE FONDI A FAVORE DELLA ASM SPA - CANTIERE COMUNE SAN PIO DELLE CAMERE - FRAZ.CASTELNUOVO - CONVENZIONE REP/USRC N. 01 DEL 15/04/2015 E N. 2 DEL 10/10/2016 - FT. N. 60/01 DEL 14/12/2017</t>
  </si>
  <si>
    <t>EROGAZIONE SOMME PER VOLO DRONE CORRELATO AL PROGETTO PRELIMINARE DELL'INTERVENTO DI RISANAMENTO IDROGEOLOGICO E MITIGAZIONE DEL RISCHIO IN AREE R4 E R3 DEL VIGENTE PIANO DI ASSETTO IDROGEOLOGICO IN LOCALITÀ VERSANTE NORD - COMUNE DI SAN PIO DELLE CAMERE (AQ)</t>
  </si>
  <si>
    <t>EROGAZIONE SOMME A SALDO PER "INTERVENTO DI RIPARAZIONE MAP N.12 E 20 - LOCALITÀ PALOMBAIA" - COMUNE DI SAN DEMETRIO NE' VESTINI (AQ)</t>
  </si>
  <si>
    <t>EROGAZIONI FONDI II RATA. INTERVENTO DI EDILIZIA SCOLASTICA - EDIFICIO SCOLASTICO INFANZIA E NIDO - COMUNE DI CASTELVECCHIO SUBEQUO (AQ) CUP H19E14000240001 - CIG 6447436081. INTERVENTO INDIVIDUATO NELL'ALLEGATO AL DCD N. 89/2011 N. 27</t>
  </si>
  <si>
    <t>COMUNE DI PESCOSANSONESCO</t>
  </si>
  <si>
    <t>CF 81002350684</t>
  </si>
  <si>
    <t>ACQUISIZIONE DOCUMENTAZIONE ATTA ALLA RENDICONTAZIONE DEL SECONDO TRASFERIMENTO PER L'EROGAZIONE FONDI RATA FINALE PER ATTUAZIONE INTERVENTI IN MATERIA DI EDILIZIA SCOLASTICA. SCUOLA ELEMENTARE - INTERVENTO INDIVIDUATO AL N. 122 DELL'ALLEGATO AL D.C.D. N.89/2011, CUP: J31H09000060001 - CIG: 5835142F7E - PROTOCOLLO NORMALIZZATO: PE-PSN-OOPP-04343 - COMUNE DI PESCOSANSONESCO (PE)</t>
  </si>
  <si>
    <t>EROGAZIONE FONDI ATTI ALLA LIQUIDAZIONE DEGLI EMOLUMENTI SPETTANTI PER LA PROROGA DEI CONTRATTI A TEMPO DETERMINATO IN AVVALIMENTO PRESSO L'UFFICIO SPECIALE PER LA RICOSTRUZIONE DEI COMUNI DEL CRATERE-QUOTA RESIDUA ANNUALITA' 2017</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</si>
</sst>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1.0"/>
      <color rgb="FF000000"/>
      <name val="Calibri"/>
    </font>
    <font>
      <b/>
    </font>
    <font>
      <b/>
      <sz val="11.0"/>
      <color rgb="FF000000"/>
      <name val="Calibri"/>
    </font>
    <font>
      <u/>
      <sz val="11.0"/>
      <color rgb="FF0000FF"/>
      <name val="Calibri"/>
    </font>
    <font>
      <u/>
      <sz val="11.0"/>
      <color rgb="FF0000FF"/>
      <name val="Calibri"/>
    </font>
    <font>
      <u/>
      <sz val="11.0"/>
      <color rgb="FF0000FF"/>
      <name val="Calibri"/>
    </font>
    <font>
      <sz val="11.0"/>
      <color rgb="FF0000FF"/>
      <name val="Calibri"/>
    </font>
    <font/>
  </fonts>
  <fills count="5">
    <fill>
      <patternFill patternType="none"/>
    </fill>
    <fill>
      <patternFill patternType="lightGray"/>
    </fill>
    <fill>
      <patternFill patternType="solid">
        <fgColor rgb="FFFFFF00"/>
        <bgColor rgb="FFFFFF00"/>
      </patternFill>
    </fill>
    <fill>
      <patternFill patternType="solid">
        <fgColor rgb="FFF9CB9C"/>
        <bgColor rgb="FFF9CB9C"/>
      </patternFill>
    </fill>
    <fill>
      <patternFill patternType="solid">
        <fgColor rgb="FFFFFFFF"/>
        <bgColor rgb="FFFFFFFF"/>
      </patternFill>
    </fill>
  </fills>
  <borders count="5">
    <border/>
    <border>
      <left style="thin">
        <color rgb="FF000000"/>
      </left>
      <right style="thin">
        <color rgb="FF000000"/>
      </right>
      <top style="thin">
        <color rgb="FF000000"/>
      </top>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2" fontId="2" numFmtId="0" xfId="0" applyAlignment="1" applyBorder="1" applyFont="1">
      <alignment horizontal="center" readingOrder="0" shrinkToFit="0" vertical="center" wrapText="0"/>
    </xf>
    <xf borderId="1" fillId="2" fontId="1" numFmtId="4" xfId="0" applyAlignment="1" applyBorder="1" applyFont="1" applyNumberFormat="1">
      <alignment horizontal="center" readingOrder="0" vertical="center"/>
    </xf>
    <xf borderId="0" fillId="3" fontId="0" numFmtId="0" xfId="0" applyAlignment="1" applyFill="1" applyFont="1">
      <alignment readingOrder="0" shrinkToFit="0" vertical="bottom" wrapText="0"/>
    </xf>
    <xf borderId="0" fillId="0" fontId="0" numFmtId="0" xfId="0" applyAlignment="1" applyFont="1">
      <alignment readingOrder="0" shrinkToFit="0" vertical="bottom" wrapText="0"/>
    </xf>
    <xf borderId="0" fillId="0" fontId="0" numFmtId="4" xfId="0" applyAlignment="1" applyFont="1" applyNumberFormat="1">
      <alignment readingOrder="0" shrinkToFit="0" vertical="bottom" wrapText="0"/>
    </xf>
    <xf borderId="0" fillId="4" fontId="3" numFmtId="0" xfId="0" applyAlignment="1" applyFill="1" applyFont="1">
      <alignment readingOrder="0" shrinkToFit="0" vertical="bottom" wrapText="0"/>
    </xf>
    <xf borderId="0" fillId="4" fontId="0" numFmtId="0" xfId="0" applyAlignment="1" applyFont="1">
      <alignment readingOrder="0" shrinkToFit="0" vertical="bottom" wrapText="0"/>
    </xf>
    <xf borderId="0" fillId="0" fontId="0" numFmtId="0" xfId="0" applyAlignment="1" applyFont="1">
      <alignment shrinkToFit="0" wrapText="0"/>
    </xf>
    <xf borderId="0" fillId="0" fontId="4" numFmtId="0" xfId="0" applyAlignment="1" applyFont="1">
      <alignment readingOrder="0" shrinkToFit="0" vertical="bottom" wrapText="0"/>
    </xf>
    <xf borderId="0" fillId="0" fontId="0" numFmtId="164" xfId="0" applyAlignment="1" applyFont="1" applyNumberFormat="1">
      <alignment readingOrder="0" shrinkToFit="0" vertical="bottom" wrapText="0"/>
    </xf>
    <xf borderId="2" fillId="0" fontId="0" numFmtId="0" xfId="0" applyAlignment="1" applyBorder="1" applyFont="1">
      <alignment readingOrder="0" shrinkToFit="0" vertical="bottom" wrapText="0"/>
    </xf>
    <xf borderId="3" fillId="0" fontId="0" numFmtId="0" xfId="0" applyAlignment="1" applyBorder="1" applyFont="1">
      <alignment readingOrder="0" shrinkToFit="0" vertical="bottom" wrapText="0"/>
    </xf>
    <xf borderId="0" fillId="4" fontId="5" numFmtId="0" xfId="0" applyAlignment="1" applyFont="1">
      <alignment readingOrder="0" shrinkToFit="0" vertical="bottom" wrapText="0"/>
    </xf>
    <xf borderId="0" fillId="4" fontId="0" numFmtId="0" xfId="0" applyAlignment="1" applyFont="1">
      <alignment readingOrder="0" shrinkToFit="0" vertical="bottom" wrapText="0"/>
    </xf>
    <xf borderId="0" fillId="4" fontId="0" numFmtId="164" xfId="0" applyAlignment="1" applyFont="1" applyNumberFormat="1">
      <alignment readingOrder="0" shrinkToFit="0" vertical="bottom" wrapText="0"/>
    </xf>
    <xf borderId="0" fillId="0" fontId="6" numFmtId="0" xfId="0" applyAlignment="1" applyFont="1">
      <alignment readingOrder="0" shrinkToFit="0" vertical="bottom" wrapText="0"/>
    </xf>
    <xf borderId="4" fillId="0" fontId="0" numFmtId="0" xfId="0" applyAlignment="1" applyBorder="1" applyFont="1">
      <alignment readingOrder="0" shrinkToFit="0" vertical="bottom" wrapText="0"/>
    </xf>
    <xf borderId="0" fillId="0" fontId="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42.14"/>
    <col customWidth="1" min="2" max="2" width="26.86"/>
    <col customWidth="1" min="3" max="3" width="22.14"/>
    <col customWidth="1" min="4" max="4" width="37.14"/>
    <col customWidth="1" min="5" max="5" width="268.29"/>
    <col customWidth="1" min="6" max="6" width="9.86"/>
    <col customWidth="1" min="7" max="7" width="72.14"/>
    <col customWidth="1" min="8" max="16" width="42.71"/>
  </cols>
  <sheetData>
    <row r="1" ht="30.0" customHeight="1">
      <c r="A1" s="1" t="s">
        <v>0</v>
      </c>
      <c r="B1" s="2" t="s">
        <v>1</v>
      </c>
      <c r="C1" s="3" t="s">
        <v>2</v>
      </c>
      <c r="D1" s="1" t="s">
        <v>3</v>
      </c>
      <c r="E1" s="1" t="s">
        <v>4</v>
      </c>
      <c r="F1" s="1" t="s">
        <v>5</v>
      </c>
      <c r="G1" s="1" t="s">
        <v>6</v>
      </c>
      <c r="H1" s="1" t="s">
        <v>7</v>
      </c>
      <c r="I1" s="1" t="s">
        <v>8</v>
      </c>
      <c r="J1" s="1"/>
      <c r="K1" s="1"/>
      <c r="L1" s="1"/>
      <c r="M1" s="1"/>
      <c r="N1" s="1"/>
      <c r="O1" s="1"/>
      <c r="P1" s="1"/>
    </row>
    <row r="2" ht="30.0" customHeight="1">
      <c r="A2" s="4" t="s">
        <v>9</v>
      </c>
      <c r="B2" s="5" t="s">
        <v>10</v>
      </c>
      <c r="C2" s="6">
        <v>34514.01</v>
      </c>
      <c r="D2" s="7" t="str">
        <f>HYPERLINK("http://www.usrc.it/AppRendiConta/det_1_20170109.pdf","DETERMINA N. 1 DEL 09/01/2017")</f>
        <v>DETERMINA N. 1 DEL 09/01/2017</v>
      </c>
      <c r="E2" s="5" t="s">
        <v>11</v>
      </c>
      <c r="F2" s="8" t="s">
        <v>12</v>
      </c>
      <c r="G2" s="8" t="s">
        <v>13</v>
      </c>
      <c r="H2" s="9"/>
      <c r="I2" s="9"/>
      <c r="J2" s="9"/>
      <c r="K2" s="9"/>
      <c r="L2" s="9"/>
      <c r="M2" s="9"/>
      <c r="N2" s="9"/>
      <c r="O2" s="9"/>
      <c r="P2" s="9"/>
    </row>
    <row r="3" ht="30.0" customHeight="1">
      <c r="A3" s="4" t="s">
        <v>14</v>
      </c>
      <c r="B3" s="5" t="s">
        <v>15</v>
      </c>
      <c r="C3" s="6">
        <v>2980063.01</v>
      </c>
      <c r="D3" s="7" t="str">
        <f>HYPERLINK("http://www.usrc.it/AppRendiConta/det_2_20170109.pdf","DETERMINA N. 2 DEL 09/01/2017")</f>
        <v>DETERMINA N. 2 DEL 09/01/2017</v>
      </c>
      <c r="E3" s="5" t="s">
        <v>16</v>
      </c>
      <c r="F3" s="8" t="s">
        <v>12</v>
      </c>
      <c r="G3" s="8" t="s">
        <v>17</v>
      </c>
      <c r="H3" s="9"/>
      <c r="I3" s="9"/>
      <c r="J3" s="9"/>
      <c r="K3" s="9"/>
      <c r="L3" s="9"/>
      <c r="M3" s="9"/>
      <c r="N3" s="9"/>
      <c r="O3" s="9"/>
      <c r="P3" s="9"/>
    </row>
    <row r="4" ht="30.0" customHeight="1">
      <c r="A4" s="4" t="s">
        <v>18</v>
      </c>
      <c r="B4" s="5" t="s">
        <v>19</v>
      </c>
      <c r="C4" s="6">
        <v>1900900.12</v>
      </c>
      <c r="D4" s="7" t="str">
        <f>HYPERLINK("http://www.usrc.it/AppRendiConta/det_3_20170109.pdf","DETERMINA N. 3 DEL 09/01/2017")</f>
        <v>DETERMINA N. 3 DEL 09/01/2017</v>
      </c>
      <c r="E4" s="5" t="s">
        <v>20</v>
      </c>
      <c r="F4" s="8" t="s">
        <v>12</v>
      </c>
      <c r="G4" s="8" t="s">
        <v>13</v>
      </c>
      <c r="H4" s="9"/>
      <c r="I4" s="9"/>
      <c r="J4" s="9"/>
      <c r="K4" s="9"/>
      <c r="L4" s="9"/>
      <c r="M4" s="9"/>
      <c r="N4" s="9"/>
      <c r="O4" s="9"/>
      <c r="P4" s="9"/>
    </row>
    <row r="5" ht="30.0" customHeight="1">
      <c r="A5" s="4" t="s">
        <v>21</v>
      </c>
      <c r="B5" s="5" t="s">
        <v>22</v>
      </c>
      <c r="C5" s="6">
        <v>59364.39</v>
      </c>
      <c r="D5" s="7" t="str">
        <f>HYPERLINK("http://www.usrc.it/AppRendiConta/det_9_20170109.pdf","DETERMINA N. 9 DEL 09/01/2017")</f>
        <v>DETERMINA N. 9 DEL 09/01/2017</v>
      </c>
      <c r="E5" s="5" t="s">
        <v>23</v>
      </c>
      <c r="F5" s="8" t="s">
        <v>12</v>
      </c>
      <c r="G5" s="8" t="s">
        <v>24</v>
      </c>
      <c r="H5" s="9"/>
      <c r="I5" s="9"/>
      <c r="J5" s="9"/>
      <c r="K5" s="9"/>
      <c r="L5" s="9"/>
      <c r="M5" s="9"/>
      <c r="N5" s="9"/>
      <c r="O5" s="9"/>
      <c r="P5" s="9"/>
    </row>
    <row r="6" ht="30.0" customHeight="1">
      <c r="A6" s="4" t="s">
        <v>25</v>
      </c>
      <c r="B6" s="5" t="s">
        <v>26</v>
      </c>
      <c r="C6" s="6">
        <v>2319.16</v>
      </c>
      <c r="D6" s="7" t="str">
        <f>HYPERLINK("http://www.usrc.it/AppRendiConta/det_11_20170110.pdf","DETERMINA N. 11 DEL 10/01/2017")</f>
        <v>DETERMINA N. 11 DEL 10/01/2017</v>
      </c>
      <c r="E6" s="5" t="s">
        <v>27</v>
      </c>
      <c r="F6" s="8" t="s">
        <v>12</v>
      </c>
      <c r="G6" s="8" t="s">
        <v>28</v>
      </c>
      <c r="H6" s="9"/>
      <c r="I6" s="9"/>
      <c r="J6" s="9"/>
      <c r="K6" s="9"/>
      <c r="L6" s="9"/>
      <c r="M6" s="9"/>
      <c r="N6" s="9"/>
      <c r="O6" s="9"/>
      <c r="P6" s="9"/>
    </row>
    <row r="7" ht="30.0" customHeight="1">
      <c r="A7" s="4" t="s">
        <v>29</v>
      </c>
      <c r="B7" s="5" t="s">
        <v>30</v>
      </c>
      <c r="C7" s="6">
        <v>507.52</v>
      </c>
      <c r="D7" s="7" t="str">
        <f>HYPERLINK("http://www.usrc.it/AppRendiConta/det_13_20170110.pdf","DETERMINA N. 13 DEL 10/01/2017")</f>
        <v>DETERMINA N. 13 DEL 10/01/2017</v>
      </c>
      <c r="E7" s="5" t="s">
        <v>31</v>
      </c>
      <c r="F7" s="8" t="s">
        <v>12</v>
      </c>
      <c r="G7" s="8" t="s">
        <v>28</v>
      </c>
      <c r="H7" s="9"/>
      <c r="I7" s="9"/>
      <c r="J7" s="9"/>
      <c r="K7" s="9"/>
      <c r="L7" s="9"/>
      <c r="M7" s="9"/>
      <c r="N7" s="9"/>
      <c r="O7" s="9"/>
      <c r="P7" s="9"/>
    </row>
    <row r="8" ht="30.0" customHeight="1">
      <c r="A8" s="4" t="s">
        <v>32</v>
      </c>
      <c r="B8" s="5" t="s">
        <v>33</v>
      </c>
      <c r="C8" s="6">
        <v>5282204.49</v>
      </c>
      <c r="D8" s="7" t="str">
        <f>HYPERLINK("http://www.usrc.it/AppRendiConta/det_14_20170110.pdf","DETERMINA N. 14 DEL 10/01/2017")</f>
        <v>DETERMINA N. 14 DEL 10/01/2017</v>
      </c>
      <c r="E8" s="5" t="s">
        <v>34</v>
      </c>
      <c r="F8" s="8" t="s">
        <v>12</v>
      </c>
      <c r="G8" s="8" t="s">
        <v>35</v>
      </c>
      <c r="H8" s="9"/>
      <c r="I8" s="9"/>
      <c r="J8" s="9"/>
      <c r="K8" s="9"/>
      <c r="L8" s="9"/>
      <c r="M8" s="9"/>
      <c r="N8" s="9"/>
      <c r="O8" s="9"/>
      <c r="P8" s="9"/>
    </row>
    <row r="9" ht="30.0" customHeight="1">
      <c r="A9" s="4" t="s">
        <v>36</v>
      </c>
      <c r="B9" s="5" t="s">
        <v>37</v>
      </c>
      <c r="C9" s="6">
        <v>32269.03</v>
      </c>
      <c r="D9" s="10" t="str">
        <f>HYPERLINK("http://www.usrc.it/AppRendiConta/det_20_20170112.pdf","DETERMINA N. 20 DEL 12/01/2017")</f>
        <v>DETERMINA N. 20 DEL 12/01/2017</v>
      </c>
      <c r="E9" s="5" t="s">
        <v>38</v>
      </c>
      <c r="F9" s="8" t="s">
        <v>12</v>
      </c>
      <c r="G9" s="8" t="s">
        <v>24</v>
      </c>
      <c r="H9" s="9"/>
      <c r="I9" s="9"/>
      <c r="J9" s="9"/>
      <c r="K9" s="9"/>
      <c r="L9" s="9"/>
      <c r="M9" s="9"/>
      <c r="N9" s="9"/>
      <c r="O9" s="9"/>
      <c r="P9" s="9"/>
    </row>
    <row r="10" ht="30.0" customHeight="1">
      <c r="A10" s="4" t="s">
        <v>39</v>
      </c>
      <c r="B10" s="8" t="s">
        <v>40</v>
      </c>
      <c r="C10" s="6">
        <v>60683.52</v>
      </c>
      <c r="D10" s="10" t="str">
        <f>HYPERLINK("http://www.usrc.it/AppRendiConta/det_21_20170112.pdf","DETERMINA N. 21 DEL 12/01/2017")</f>
        <v>DETERMINA N. 21 DEL 12/01/2017</v>
      </c>
      <c r="E10" s="5" t="s">
        <v>41</v>
      </c>
      <c r="F10" s="8" t="s">
        <v>12</v>
      </c>
      <c r="G10" s="8" t="s">
        <v>28</v>
      </c>
      <c r="H10" s="9"/>
      <c r="I10" s="9"/>
      <c r="J10" s="9"/>
      <c r="K10" s="9"/>
      <c r="L10" s="9"/>
      <c r="M10" s="9"/>
      <c r="N10" s="9"/>
      <c r="O10" s="9"/>
      <c r="P10" s="9"/>
    </row>
    <row r="11" ht="30.0" customHeight="1">
      <c r="A11" s="4" t="s">
        <v>42</v>
      </c>
      <c r="B11" s="8" t="s">
        <v>43</v>
      </c>
      <c r="C11" s="6">
        <v>45843.16</v>
      </c>
      <c r="D11" s="10" t="str">
        <f>HYPERLINK("http://www.usrc.it/AppRendiConta/det_31_20170123.pdf","DETERMINA N. 31 DEL 23/01/2017")</f>
        <v>DETERMINA N. 31 DEL 23/01/2017</v>
      </c>
      <c r="E11" s="5" t="s">
        <v>44</v>
      </c>
      <c r="F11" s="8" t="s">
        <v>12</v>
      </c>
      <c r="G11" s="8" t="s">
        <v>24</v>
      </c>
      <c r="H11" s="9"/>
      <c r="I11" s="9"/>
      <c r="J11" s="9"/>
      <c r="K11" s="9"/>
      <c r="L11" s="9"/>
      <c r="M11" s="9"/>
      <c r="N11" s="9"/>
      <c r="O11" s="9"/>
      <c r="P11" s="9"/>
    </row>
    <row r="12" ht="30.0" customHeight="1">
      <c r="A12" s="4" t="s">
        <v>39</v>
      </c>
      <c r="B12" s="5" t="s">
        <v>40</v>
      </c>
      <c r="C12" s="6">
        <v>22027.48</v>
      </c>
      <c r="D12" s="10" t="str">
        <f>HYPERLINK("http://www.usrc.it/AppRendiConta/det_39_20170126.pdf","DETERMINA N. 39 DEL 26/01/2017")</f>
        <v>DETERMINA N. 39 DEL 26/01/2017</v>
      </c>
      <c r="E12" s="5" t="s">
        <v>45</v>
      </c>
      <c r="F12" s="8" t="s">
        <v>12</v>
      </c>
      <c r="G12" s="8" t="s">
        <v>24</v>
      </c>
      <c r="H12" s="9"/>
      <c r="I12" s="9"/>
      <c r="J12" s="9"/>
      <c r="K12" s="9"/>
      <c r="L12" s="9"/>
      <c r="M12" s="9"/>
      <c r="N12" s="9"/>
      <c r="O12" s="9"/>
      <c r="P12" s="9"/>
    </row>
    <row r="13" ht="30.0" customHeight="1">
      <c r="A13" s="4" t="s">
        <v>46</v>
      </c>
      <c r="B13" s="5" t="s">
        <v>47</v>
      </c>
      <c r="C13" s="6">
        <v>425209.18</v>
      </c>
      <c r="D13" s="7" t="str">
        <f>HYPERLINK("http://www.usrc.it/AppRendiConta/det_40_20170126.pdf","DETERMINA N. 40 DEL 26/01/2017")</f>
        <v>DETERMINA N. 40 DEL 26/01/2017</v>
      </c>
      <c r="E13" s="8" t="s">
        <v>48</v>
      </c>
      <c r="F13" s="8" t="s">
        <v>12</v>
      </c>
      <c r="G13" s="5" t="s">
        <v>24</v>
      </c>
      <c r="H13" s="9"/>
      <c r="I13" s="9"/>
      <c r="J13" s="9"/>
      <c r="K13" s="9"/>
      <c r="L13" s="9"/>
      <c r="M13" s="9"/>
      <c r="N13" s="9"/>
      <c r="O13" s="9"/>
      <c r="P13" s="9"/>
    </row>
    <row r="14" ht="30.0" customHeight="1">
      <c r="A14" s="4" t="s">
        <v>49</v>
      </c>
      <c r="B14" s="5" t="s">
        <v>50</v>
      </c>
      <c r="C14" s="6">
        <v>2021.0</v>
      </c>
      <c r="D14" s="7" t="str">
        <f>HYPERLINK("http://www.usrc.it/AppRendiConta/det_41_20170126.pdf","DETERMINA N. 41 DEL 26/01/2017")</f>
        <v>DETERMINA N. 41 DEL 26/01/2017</v>
      </c>
      <c r="E14" s="8" t="s">
        <v>51</v>
      </c>
      <c r="F14" s="5" t="s">
        <v>12</v>
      </c>
      <c r="G14" s="5" t="s">
        <v>28</v>
      </c>
      <c r="H14" s="9"/>
      <c r="I14" s="9"/>
      <c r="J14" s="9"/>
      <c r="K14" s="9"/>
      <c r="L14" s="9"/>
      <c r="M14" s="9"/>
      <c r="N14" s="9"/>
      <c r="O14" s="9"/>
      <c r="P14" s="9"/>
    </row>
    <row r="15" ht="30.0" customHeight="1">
      <c r="A15" s="4" t="s">
        <v>52</v>
      </c>
      <c r="B15" s="5" t="s">
        <v>53</v>
      </c>
      <c r="C15" s="6">
        <v>1240.24</v>
      </c>
      <c r="D15" s="7" t="str">
        <f>HYPERLINK("http://www.usrc.it/AppRendiConta/det_42_20170126.pdf","DETERMINA N. 42 DEL 26/01/2017")</f>
        <v>DETERMINA N. 42 DEL 26/01/2017</v>
      </c>
      <c r="E15" s="8" t="s">
        <v>54</v>
      </c>
      <c r="F15" s="5" t="s">
        <v>12</v>
      </c>
      <c r="G15" s="5" t="s">
        <v>24</v>
      </c>
      <c r="H15" s="9"/>
      <c r="I15" s="9"/>
      <c r="J15" s="9"/>
      <c r="K15" s="9"/>
      <c r="L15" s="9"/>
      <c r="M15" s="9"/>
      <c r="N15" s="9"/>
      <c r="O15" s="9"/>
      <c r="P15" s="9"/>
    </row>
    <row r="16" ht="30.0" customHeight="1">
      <c r="A16" s="4" t="s">
        <v>55</v>
      </c>
      <c r="B16" s="5" t="s">
        <v>56</v>
      </c>
      <c r="C16" s="6">
        <v>240295.0</v>
      </c>
      <c r="D16" s="7" t="str">
        <f>HYPERLINK("http://www.usrc.it/AppRendiConta/det_44_20170131.pdf","DETERMINA N. 44 DEL 31/01/2017")</f>
        <v>DETERMINA N. 44 DEL 31/01/2017</v>
      </c>
      <c r="E16" s="5" t="s">
        <v>57</v>
      </c>
      <c r="F16" s="5" t="s">
        <v>12</v>
      </c>
      <c r="G16" s="8" t="s">
        <v>58</v>
      </c>
      <c r="H16" s="9"/>
      <c r="I16" s="9"/>
      <c r="J16" s="9"/>
      <c r="K16" s="9"/>
      <c r="L16" s="9"/>
      <c r="M16" s="9"/>
      <c r="N16" s="9"/>
      <c r="O16" s="9"/>
      <c r="P16" s="9"/>
    </row>
    <row r="17" ht="30.0" customHeight="1">
      <c r="A17" s="4" t="s">
        <v>59</v>
      </c>
      <c r="B17" s="5" t="s">
        <v>60</v>
      </c>
      <c r="C17" s="6">
        <v>424917.68</v>
      </c>
      <c r="D17" s="7" t="str">
        <f>HYPERLINK("http://www.usrc.it/AppRendiConta/det_47_20170131.pdf","DETERMINA N. 47 DEL 31/01/2017")</f>
        <v>DETERMINA N. 47 DEL 31/01/2017</v>
      </c>
      <c r="E17" s="5" t="s">
        <v>61</v>
      </c>
      <c r="F17" s="5" t="s">
        <v>12</v>
      </c>
      <c r="G17" s="5" t="s">
        <v>62</v>
      </c>
      <c r="H17" s="9"/>
      <c r="I17" s="9"/>
      <c r="J17" s="9"/>
      <c r="K17" s="9"/>
      <c r="L17" s="9"/>
      <c r="M17" s="9"/>
      <c r="N17" s="9"/>
      <c r="O17" s="9"/>
      <c r="P17" s="9"/>
    </row>
    <row r="18" ht="30.0" customHeight="1">
      <c r="A18" s="4" t="s">
        <v>63</v>
      </c>
      <c r="B18" s="5" t="s">
        <v>64</v>
      </c>
      <c r="C18" s="6">
        <v>2511391.14</v>
      </c>
      <c r="D18" s="10" t="str">
        <f>HYPERLINK("http://www.usrc.it/AppRendiConta/det_52_20170202.pdf","DETERMINA N. 52 DEL 02/02/2017")</f>
        <v>DETERMINA N. 52 DEL 02/02/2017</v>
      </c>
      <c r="E18" s="5" t="s">
        <v>65</v>
      </c>
      <c r="F18" s="8" t="s">
        <v>12</v>
      </c>
      <c r="G18" s="8" t="s">
        <v>13</v>
      </c>
      <c r="H18" s="9"/>
      <c r="I18" s="9"/>
      <c r="J18" s="9"/>
      <c r="K18" s="9"/>
      <c r="L18" s="9"/>
      <c r="M18" s="9"/>
      <c r="N18" s="9"/>
      <c r="O18" s="9"/>
      <c r="P18" s="9"/>
    </row>
    <row r="19" ht="30.0" customHeight="1">
      <c r="A19" s="4" t="s">
        <v>49</v>
      </c>
      <c r="B19" s="5" t="s">
        <v>50</v>
      </c>
      <c r="C19" s="6">
        <v>252640.77</v>
      </c>
      <c r="D19" s="10" t="str">
        <f>HYPERLINK("http://www.usrc.it/AppRendiConta/det_57_20170202.pdf","DETERMINA N. 57 DEL 02/02/2017")</f>
        <v>DETERMINA N. 57 DEL 02/02/2017</v>
      </c>
      <c r="E19" s="5" t="s">
        <v>66</v>
      </c>
      <c r="F19" s="8" t="s">
        <v>12</v>
      </c>
      <c r="G19" s="8" t="s">
        <v>24</v>
      </c>
      <c r="H19" s="9"/>
      <c r="I19" s="9"/>
      <c r="J19" s="9"/>
      <c r="K19" s="9"/>
      <c r="L19" s="9"/>
      <c r="M19" s="9"/>
      <c r="N19" s="9"/>
      <c r="O19" s="9"/>
      <c r="P19" s="9"/>
    </row>
    <row r="20" ht="30.0" customHeight="1">
      <c r="A20" s="4" t="s">
        <v>67</v>
      </c>
      <c r="B20" s="5" t="s">
        <v>47</v>
      </c>
      <c r="C20" s="6">
        <v>43570.48</v>
      </c>
      <c r="D20" s="10" t="str">
        <f>HYPERLINK("http://www.usrc.it/AppRendiConta/det_58_20170202.pdf","DETERMINA N. 58 DEL 02/02/2017")</f>
        <v>DETERMINA N. 58 DEL 02/02/2017</v>
      </c>
      <c r="E20" s="5" t="s">
        <v>68</v>
      </c>
      <c r="F20" s="8" t="s">
        <v>12</v>
      </c>
      <c r="G20" s="8" t="s">
        <v>28</v>
      </c>
      <c r="H20" s="9"/>
      <c r="I20" s="9"/>
      <c r="J20" s="9"/>
      <c r="K20" s="9"/>
      <c r="L20" s="9"/>
      <c r="M20" s="9"/>
      <c r="N20" s="9"/>
      <c r="O20" s="9"/>
      <c r="P20" s="9"/>
    </row>
    <row r="21" ht="30.0" customHeight="1">
      <c r="A21" s="4" t="s">
        <v>69</v>
      </c>
      <c r="B21" s="5" t="s">
        <v>70</v>
      </c>
      <c r="C21" s="6">
        <v>35568.66</v>
      </c>
      <c r="D21" s="10" t="str">
        <f>HYPERLINK("http://www.usrc.it/AppRendiConta/det_59_20170206.pdf","DETERMINA N. 59 DEL 06/02/2017")</f>
        <v>DETERMINA N. 59 DEL 06/02/2017</v>
      </c>
      <c r="E21" s="5" t="s">
        <v>71</v>
      </c>
      <c r="F21" s="8" t="s">
        <v>12</v>
      </c>
      <c r="G21" s="8" t="s">
        <v>58</v>
      </c>
      <c r="H21" s="9"/>
      <c r="I21" s="9"/>
      <c r="J21" s="9"/>
      <c r="K21" s="9"/>
      <c r="L21" s="9"/>
      <c r="M21" s="9"/>
      <c r="N21" s="9"/>
      <c r="O21" s="9"/>
      <c r="P21" s="9"/>
    </row>
    <row r="22" ht="30.0" customHeight="1">
      <c r="A22" s="4" t="s">
        <v>72</v>
      </c>
      <c r="B22" s="5" t="s">
        <v>73</v>
      </c>
      <c r="C22" s="6">
        <v>619943.51</v>
      </c>
      <c r="D22" s="10" t="str">
        <f>HYPERLINK("http://www.usrc.it/AppRendiConta/det_63_20170207.pdf","DETERMINA N. 63 DEL 07/02/2017")</f>
        <v>DETERMINA N. 63 DEL 07/02/2017</v>
      </c>
      <c r="E22" s="5" t="s">
        <v>74</v>
      </c>
      <c r="F22" s="8" t="s">
        <v>12</v>
      </c>
      <c r="G22" s="8" t="s">
        <v>13</v>
      </c>
      <c r="H22" s="9"/>
      <c r="I22" s="9"/>
      <c r="J22" s="9"/>
      <c r="K22" s="9"/>
      <c r="L22" s="9"/>
      <c r="M22" s="9"/>
      <c r="N22" s="9"/>
      <c r="O22" s="9"/>
      <c r="P22" s="9"/>
    </row>
    <row r="23" ht="30.0" customHeight="1">
      <c r="A23" s="4" t="s">
        <v>21</v>
      </c>
      <c r="B23" s="5" t="s">
        <v>22</v>
      </c>
      <c r="C23" s="6">
        <v>4811.34</v>
      </c>
      <c r="D23" s="10" t="str">
        <f>HYPERLINK("http://www.usrc.it/AppRendiConta/det_66_20170207.pdf","DETERMINA N. 66 DEL 07/02/2017")</f>
        <v>DETERMINA N. 66 DEL 07/02/2017</v>
      </c>
      <c r="E23" s="5" t="s">
        <v>75</v>
      </c>
      <c r="F23" s="8" t="s">
        <v>12</v>
      </c>
      <c r="G23" s="8" t="s">
        <v>24</v>
      </c>
      <c r="H23" s="9"/>
      <c r="I23" s="9"/>
      <c r="J23" s="9"/>
      <c r="K23" s="9"/>
      <c r="L23" s="9"/>
      <c r="M23" s="9"/>
      <c r="N23" s="9"/>
      <c r="O23" s="9"/>
      <c r="P23" s="9"/>
    </row>
    <row r="24" ht="30.0" customHeight="1">
      <c r="A24" s="4" t="s">
        <v>76</v>
      </c>
      <c r="B24" s="5" t="s">
        <v>77</v>
      </c>
      <c r="C24" s="6">
        <v>30000.0</v>
      </c>
      <c r="D24" s="10" t="str">
        <f>HYPERLINK("http://www.usrc.it/AppRendiConta/det_67_20170208.pdf","DETERMINA N. 67 DEL 08/02/2017")</f>
        <v>DETERMINA N. 67 DEL 08/02/2017</v>
      </c>
      <c r="E24" s="5" t="s">
        <v>78</v>
      </c>
      <c r="F24" s="8" t="s">
        <v>12</v>
      </c>
      <c r="G24" s="8" t="s">
        <v>24</v>
      </c>
      <c r="H24" s="9"/>
      <c r="I24" s="9"/>
      <c r="J24" s="9"/>
      <c r="K24" s="9"/>
      <c r="L24" s="9"/>
      <c r="M24" s="9"/>
      <c r="N24" s="9"/>
      <c r="O24" s="9"/>
      <c r="P24" s="9"/>
    </row>
    <row r="25" ht="30.0" customHeight="1">
      <c r="A25" s="4" t="s">
        <v>21</v>
      </c>
      <c r="B25" s="5" t="s">
        <v>22</v>
      </c>
      <c r="C25" s="6">
        <v>29175.26</v>
      </c>
      <c r="D25" s="10" t="str">
        <f>HYPERLINK("http://www.usrc.it/AppRendiConta/det_68_20170208.pdf","DETERMINA N. 68 DEL 08/02/2017")</f>
        <v>DETERMINA N. 68 DEL 08/02/2017</v>
      </c>
      <c r="E25" s="5" t="s">
        <v>79</v>
      </c>
      <c r="F25" s="8" t="s">
        <v>12</v>
      </c>
      <c r="G25" s="8" t="s">
        <v>24</v>
      </c>
      <c r="H25" s="9"/>
      <c r="I25" s="9"/>
      <c r="J25" s="9"/>
      <c r="K25" s="9"/>
      <c r="L25" s="9"/>
      <c r="M25" s="9"/>
      <c r="N25" s="9"/>
      <c r="O25" s="9"/>
      <c r="P25" s="9"/>
    </row>
    <row r="26" ht="30.0" customHeight="1">
      <c r="A26" s="4" t="s">
        <v>80</v>
      </c>
      <c r="B26" s="5" t="s">
        <v>81</v>
      </c>
      <c r="C26" s="6">
        <v>2849113.47</v>
      </c>
      <c r="D26" s="10" t="str">
        <f>HYPERLINK("http://www.usrc.it/AppRendiConta/det_69_20170208.pdf","DETERMINA N. 69 DEL 08/02/2017")</f>
        <v>DETERMINA N. 69 DEL 08/02/2017</v>
      </c>
      <c r="E26" s="5" t="s">
        <v>82</v>
      </c>
      <c r="F26" s="8" t="s">
        <v>12</v>
      </c>
      <c r="G26" s="8" t="s">
        <v>13</v>
      </c>
      <c r="H26" s="9"/>
      <c r="I26" s="9"/>
      <c r="J26" s="9"/>
      <c r="K26" s="9"/>
      <c r="L26" s="9"/>
      <c r="M26" s="9"/>
      <c r="N26" s="9"/>
      <c r="O26" s="9"/>
      <c r="P26" s="9"/>
    </row>
    <row r="27" ht="30.0" customHeight="1">
      <c r="A27" s="4" t="s">
        <v>83</v>
      </c>
      <c r="B27" s="5" t="s">
        <v>84</v>
      </c>
      <c r="C27" s="6">
        <v>12600.0</v>
      </c>
      <c r="D27" s="10" t="str">
        <f>HYPERLINK("http://www.usrc.it/AppRendiConta/det_71_20170209.pdf","DETERMINA N. 71 DEL 09/02/2017")</f>
        <v>DETERMINA N. 71 DEL 09/02/2017</v>
      </c>
      <c r="E27" s="5" t="s">
        <v>85</v>
      </c>
      <c r="F27" s="8" t="s">
        <v>12</v>
      </c>
      <c r="G27" s="8" t="s">
        <v>86</v>
      </c>
      <c r="H27" s="9"/>
      <c r="I27" s="9"/>
      <c r="J27" s="9"/>
      <c r="K27" s="9"/>
      <c r="L27" s="9"/>
      <c r="M27" s="9"/>
      <c r="N27" s="9"/>
      <c r="O27" s="9"/>
      <c r="P27" s="9"/>
    </row>
    <row r="28" ht="30.0" customHeight="1">
      <c r="A28" s="4" t="s">
        <v>87</v>
      </c>
      <c r="B28" s="5" t="s">
        <v>88</v>
      </c>
      <c r="C28" s="6">
        <v>9000.0</v>
      </c>
      <c r="D28" s="10" t="str">
        <f t="shared" ref="D28:D33" si="1">HYPERLINK("http://www.usrc.it/AppRendiConta/det_72_20170209.pdf","DETERMINA N. 72 DEL 09/02/2017")</f>
        <v>DETERMINA N. 72 DEL 09/02/2017</v>
      </c>
      <c r="E28" s="5" t="s">
        <v>89</v>
      </c>
      <c r="F28" s="8" t="s">
        <v>12</v>
      </c>
      <c r="G28" s="8" t="s">
        <v>86</v>
      </c>
      <c r="H28" s="9"/>
      <c r="I28" s="9"/>
      <c r="J28" s="9"/>
      <c r="K28" s="9"/>
      <c r="L28" s="9"/>
      <c r="M28" s="9"/>
      <c r="N28" s="9"/>
      <c r="O28" s="9"/>
      <c r="P28" s="9"/>
    </row>
    <row r="29" ht="30.0" customHeight="1">
      <c r="A29" s="4" t="s">
        <v>90</v>
      </c>
      <c r="B29" s="5" t="s">
        <v>91</v>
      </c>
      <c r="C29" s="6">
        <v>8099.96</v>
      </c>
      <c r="D29" s="10" t="str">
        <f t="shared" si="1"/>
        <v>DETERMINA N. 72 DEL 09/02/2017</v>
      </c>
      <c r="E29" s="5" t="s">
        <v>92</v>
      </c>
      <c r="F29" s="8" t="s">
        <v>12</v>
      </c>
      <c r="G29" s="8" t="s">
        <v>86</v>
      </c>
      <c r="H29" s="9"/>
      <c r="I29" s="9"/>
      <c r="J29" s="9"/>
      <c r="K29" s="9"/>
      <c r="L29" s="9"/>
      <c r="M29" s="9"/>
      <c r="N29" s="9"/>
      <c r="O29" s="9"/>
      <c r="P29" s="9"/>
    </row>
    <row r="30" ht="30.0" customHeight="1">
      <c r="A30" s="4" t="s">
        <v>83</v>
      </c>
      <c r="B30" s="5" t="s">
        <v>84</v>
      </c>
      <c r="C30" s="6">
        <v>9000.0</v>
      </c>
      <c r="D30" s="10" t="str">
        <f t="shared" si="1"/>
        <v>DETERMINA N. 72 DEL 09/02/2017</v>
      </c>
      <c r="E30" s="5" t="s">
        <v>92</v>
      </c>
      <c r="F30" s="8" t="s">
        <v>12</v>
      </c>
      <c r="G30" s="8" t="s">
        <v>86</v>
      </c>
      <c r="H30" s="9"/>
      <c r="I30" s="9"/>
      <c r="J30" s="9"/>
      <c r="K30" s="9"/>
      <c r="L30" s="9"/>
      <c r="M30" s="9"/>
      <c r="N30" s="9"/>
      <c r="O30" s="9"/>
      <c r="P30" s="9"/>
    </row>
    <row r="31" ht="30.0" customHeight="1">
      <c r="A31" s="4" t="s">
        <v>93</v>
      </c>
      <c r="B31" s="5" t="s">
        <v>94</v>
      </c>
      <c r="C31" s="6">
        <v>9000.0</v>
      </c>
      <c r="D31" s="10" t="str">
        <f t="shared" si="1"/>
        <v>DETERMINA N. 72 DEL 09/02/2017</v>
      </c>
      <c r="E31" s="5" t="s">
        <v>92</v>
      </c>
      <c r="F31" s="8" t="s">
        <v>12</v>
      </c>
      <c r="G31" s="8" t="s">
        <v>86</v>
      </c>
      <c r="H31" s="9"/>
      <c r="I31" s="9"/>
      <c r="J31" s="9"/>
      <c r="K31" s="9"/>
      <c r="L31" s="9"/>
      <c r="M31" s="9"/>
      <c r="N31" s="9"/>
      <c r="O31" s="9"/>
      <c r="P31" s="9"/>
    </row>
    <row r="32" ht="30.0" customHeight="1">
      <c r="A32" s="4" t="s">
        <v>95</v>
      </c>
      <c r="B32" s="5" t="s">
        <v>96</v>
      </c>
      <c r="C32" s="6">
        <v>9000.0</v>
      </c>
      <c r="D32" s="10" t="str">
        <f t="shared" si="1"/>
        <v>DETERMINA N. 72 DEL 09/02/2017</v>
      </c>
      <c r="E32" s="5" t="s">
        <v>92</v>
      </c>
      <c r="F32" s="8" t="s">
        <v>12</v>
      </c>
      <c r="G32" s="8" t="s">
        <v>86</v>
      </c>
      <c r="H32" s="9"/>
      <c r="I32" s="9"/>
      <c r="J32" s="9"/>
      <c r="K32" s="9"/>
      <c r="L32" s="9"/>
      <c r="M32" s="9"/>
      <c r="N32" s="9"/>
      <c r="O32" s="9"/>
      <c r="P32" s="9"/>
    </row>
    <row r="33" ht="30.0" customHeight="1">
      <c r="A33" s="4" t="s">
        <v>97</v>
      </c>
      <c r="B33" s="5" t="s">
        <v>98</v>
      </c>
      <c r="C33" s="6">
        <v>9000.0</v>
      </c>
      <c r="D33" s="10" t="str">
        <f t="shared" si="1"/>
        <v>DETERMINA N. 72 DEL 09/02/2017</v>
      </c>
      <c r="E33" s="5" t="s">
        <v>92</v>
      </c>
      <c r="F33" s="8" t="s">
        <v>12</v>
      </c>
      <c r="G33" s="8" t="s">
        <v>86</v>
      </c>
      <c r="H33" s="9"/>
      <c r="I33" s="9"/>
      <c r="J33" s="9"/>
      <c r="K33" s="9"/>
      <c r="L33" s="9"/>
      <c r="M33" s="9"/>
      <c r="N33" s="9"/>
      <c r="O33" s="9"/>
      <c r="P33" s="9"/>
    </row>
    <row r="34" ht="30.0" customHeight="1">
      <c r="A34" s="4" t="s">
        <v>99</v>
      </c>
      <c r="B34" s="5" t="s">
        <v>100</v>
      </c>
      <c r="C34" s="6">
        <v>184218.79</v>
      </c>
      <c r="D34" s="10" t="str">
        <f>HYPERLINK("http://www.usrc.it/AppRendiConta/det_74_20170213.pdf","DETERMINA N. 74 DEL 13/02/2017")</f>
        <v>DETERMINA N. 74 DEL 13/02/2017</v>
      </c>
      <c r="E34" s="5" t="s">
        <v>101</v>
      </c>
      <c r="F34" s="8" t="s">
        <v>12</v>
      </c>
      <c r="G34" s="8" t="s">
        <v>102</v>
      </c>
      <c r="H34" s="9"/>
      <c r="I34" s="9"/>
      <c r="J34" s="9"/>
      <c r="K34" s="9"/>
      <c r="L34" s="9"/>
      <c r="M34" s="9"/>
      <c r="N34" s="9"/>
      <c r="O34" s="9"/>
      <c r="P34" s="9"/>
    </row>
    <row r="35" ht="30.0" customHeight="1">
      <c r="A35" s="4" t="s">
        <v>103</v>
      </c>
      <c r="B35" s="5" t="s">
        <v>104</v>
      </c>
      <c r="C35" s="6">
        <v>5100.0</v>
      </c>
      <c r="D35" s="10" t="str">
        <f t="shared" ref="D35:D44" si="2">HYPERLINK("http://www.usrc.it/AppRendiConta/det_76_20170215.pdf","DETERMINA N. 76 DEL 15/02/2017")</f>
        <v>DETERMINA N. 76 DEL 15/02/2017</v>
      </c>
      <c r="E35" s="5" t="s">
        <v>105</v>
      </c>
      <c r="F35" s="8" t="s">
        <v>12</v>
      </c>
      <c r="G35" s="8" t="s">
        <v>106</v>
      </c>
      <c r="H35" s="9"/>
      <c r="I35" s="9"/>
      <c r="J35" s="9"/>
      <c r="K35" s="9"/>
      <c r="L35" s="9"/>
      <c r="M35" s="9"/>
      <c r="N35" s="9"/>
      <c r="O35" s="9"/>
      <c r="P35" s="9"/>
    </row>
    <row r="36" ht="30.0" customHeight="1">
      <c r="A36" s="4" t="s">
        <v>18</v>
      </c>
      <c r="B36" s="5" t="s">
        <v>19</v>
      </c>
      <c r="C36" s="6">
        <v>27600.0</v>
      </c>
      <c r="D36" s="10" t="str">
        <f t="shared" si="2"/>
        <v>DETERMINA N. 76 DEL 15/02/2017</v>
      </c>
      <c r="E36" s="5" t="s">
        <v>107</v>
      </c>
      <c r="F36" s="8" t="s">
        <v>12</v>
      </c>
      <c r="G36" s="8" t="s">
        <v>106</v>
      </c>
      <c r="H36" s="9"/>
      <c r="I36" s="9"/>
      <c r="J36" s="9"/>
      <c r="K36" s="9"/>
      <c r="L36" s="9"/>
      <c r="M36" s="9"/>
      <c r="N36" s="9"/>
      <c r="O36" s="9"/>
      <c r="P36" s="9"/>
    </row>
    <row r="37" ht="30.0" customHeight="1">
      <c r="A37" s="4" t="s">
        <v>108</v>
      </c>
      <c r="B37" s="5" t="s">
        <v>109</v>
      </c>
      <c r="C37" s="6">
        <v>7500.0</v>
      </c>
      <c r="D37" s="10" t="str">
        <f t="shared" si="2"/>
        <v>DETERMINA N. 76 DEL 15/02/2017</v>
      </c>
      <c r="E37" s="5" t="s">
        <v>110</v>
      </c>
      <c r="F37" s="8" t="s">
        <v>12</v>
      </c>
      <c r="G37" s="8" t="s">
        <v>106</v>
      </c>
      <c r="H37" s="9"/>
      <c r="I37" s="9"/>
      <c r="J37" s="9"/>
      <c r="K37" s="9"/>
      <c r="L37" s="9"/>
      <c r="M37" s="9"/>
      <c r="N37" s="9"/>
      <c r="O37" s="9"/>
      <c r="P37" s="9"/>
    </row>
    <row r="38" ht="30.0" customHeight="1">
      <c r="A38" s="4" t="s">
        <v>14</v>
      </c>
      <c r="B38" s="5" t="s">
        <v>15</v>
      </c>
      <c r="C38" s="6">
        <v>1287.1</v>
      </c>
      <c r="D38" s="10" t="str">
        <f t="shared" si="2"/>
        <v>DETERMINA N. 76 DEL 15/02/2017</v>
      </c>
      <c r="E38" s="5" t="s">
        <v>111</v>
      </c>
      <c r="F38" s="8" t="s">
        <v>12</v>
      </c>
      <c r="G38" s="8" t="s">
        <v>106</v>
      </c>
      <c r="H38" s="9"/>
      <c r="I38" s="9"/>
      <c r="J38" s="9"/>
      <c r="K38" s="9"/>
      <c r="L38" s="9"/>
      <c r="M38" s="9"/>
      <c r="N38" s="9"/>
      <c r="O38" s="9"/>
      <c r="P38" s="9"/>
    </row>
    <row r="39" ht="30.0" customHeight="1">
      <c r="A39" s="4" t="s">
        <v>21</v>
      </c>
      <c r="B39" s="5" t="s">
        <v>22</v>
      </c>
      <c r="C39" s="6">
        <v>17340.0</v>
      </c>
      <c r="D39" s="10" t="str">
        <f t="shared" si="2"/>
        <v>DETERMINA N. 76 DEL 15/02/2017</v>
      </c>
      <c r="E39" s="5" t="s">
        <v>112</v>
      </c>
      <c r="F39" s="8" t="s">
        <v>12</v>
      </c>
      <c r="G39" s="8" t="s">
        <v>106</v>
      </c>
      <c r="H39" s="9"/>
      <c r="I39" s="9"/>
      <c r="J39" s="9"/>
      <c r="K39" s="9"/>
      <c r="L39" s="9"/>
      <c r="M39" s="9"/>
      <c r="N39" s="9"/>
      <c r="O39" s="9"/>
      <c r="P39" s="9"/>
    </row>
    <row r="40" ht="30.0" customHeight="1">
      <c r="A40" s="4" t="s">
        <v>113</v>
      </c>
      <c r="B40" s="5" t="s">
        <v>114</v>
      </c>
      <c r="C40" s="6">
        <v>15796.77</v>
      </c>
      <c r="D40" s="10" t="str">
        <f t="shared" si="2"/>
        <v>DETERMINA N. 76 DEL 15/02/2017</v>
      </c>
      <c r="E40" s="5" t="s">
        <v>115</v>
      </c>
      <c r="F40" s="8" t="s">
        <v>12</v>
      </c>
      <c r="G40" s="8" t="s">
        <v>106</v>
      </c>
      <c r="H40" s="9"/>
      <c r="I40" s="9"/>
      <c r="J40" s="9"/>
      <c r="K40" s="9"/>
      <c r="L40" s="9"/>
      <c r="M40" s="9"/>
      <c r="N40" s="9"/>
      <c r="O40" s="9"/>
      <c r="P40" s="9"/>
    </row>
    <row r="41" ht="30.0" customHeight="1">
      <c r="A41" s="4" t="s">
        <v>83</v>
      </c>
      <c r="B41" s="5" t="s">
        <v>84</v>
      </c>
      <c r="C41" s="6">
        <v>8500.0</v>
      </c>
      <c r="D41" s="10" t="str">
        <f t="shared" si="2"/>
        <v>DETERMINA N. 76 DEL 15/02/2017</v>
      </c>
      <c r="E41" s="5" t="s">
        <v>116</v>
      </c>
      <c r="F41" s="8" t="s">
        <v>12</v>
      </c>
      <c r="G41" s="8" t="s">
        <v>106</v>
      </c>
      <c r="H41" s="9"/>
      <c r="I41" s="9"/>
      <c r="J41" s="9"/>
      <c r="K41" s="9"/>
      <c r="L41" s="9"/>
      <c r="M41" s="9"/>
      <c r="N41" s="9"/>
      <c r="O41" s="9"/>
      <c r="P41" s="9"/>
    </row>
    <row r="42" ht="30.0" customHeight="1">
      <c r="A42" s="4" t="s">
        <v>117</v>
      </c>
      <c r="B42" s="5" t="s">
        <v>118</v>
      </c>
      <c r="C42" s="6">
        <v>2183.33</v>
      </c>
      <c r="D42" s="10" t="str">
        <f t="shared" si="2"/>
        <v>DETERMINA N. 76 DEL 15/02/2017</v>
      </c>
      <c r="E42" s="5" t="s">
        <v>119</v>
      </c>
      <c r="F42" s="8" t="s">
        <v>12</v>
      </c>
      <c r="G42" s="8" t="s">
        <v>106</v>
      </c>
      <c r="H42" s="9"/>
      <c r="I42" s="9"/>
      <c r="J42" s="9"/>
      <c r="K42" s="9"/>
      <c r="L42" s="9"/>
      <c r="M42" s="9"/>
      <c r="N42" s="9"/>
      <c r="O42" s="9"/>
      <c r="P42" s="9"/>
    </row>
    <row r="43" ht="30.0" customHeight="1">
      <c r="A43" s="4" t="s">
        <v>120</v>
      </c>
      <c r="B43" s="5" t="s">
        <v>121</v>
      </c>
      <c r="C43" s="11">
        <v>53983.33</v>
      </c>
      <c r="D43" s="10" t="str">
        <f t="shared" si="2"/>
        <v>DETERMINA N. 76 DEL 15/02/2017</v>
      </c>
      <c r="E43" s="5" t="s">
        <v>122</v>
      </c>
      <c r="F43" s="8" t="s">
        <v>12</v>
      </c>
      <c r="G43" s="8" t="s">
        <v>106</v>
      </c>
      <c r="H43" s="9"/>
      <c r="I43" s="9"/>
      <c r="J43" s="9"/>
      <c r="K43" s="9"/>
      <c r="L43" s="9"/>
      <c r="M43" s="9"/>
      <c r="N43" s="9"/>
      <c r="O43" s="9"/>
      <c r="P43" s="9"/>
    </row>
    <row r="44" ht="30.0" customHeight="1">
      <c r="A44" s="4" t="s">
        <v>32</v>
      </c>
      <c r="B44" s="5" t="s">
        <v>33</v>
      </c>
      <c r="C44" s="11">
        <v>2560.0</v>
      </c>
      <c r="D44" s="10" t="str">
        <f t="shared" si="2"/>
        <v>DETERMINA N. 76 DEL 15/02/2017</v>
      </c>
      <c r="E44" s="5" t="s">
        <v>123</v>
      </c>
      <c r="F44" s="8" t="s">
        <v>12</v>
      </c>
      <c r="G44" s="8" t="s">
        <v>106</v>
      </c>
      <c r="H44" s="9"/>
      <c r="I44" s="9"/>
      <c r="J44" s="9"/>
      <c r="K44" s="9"/>
      <c r="L44" s="9"/>
      <c r="M44" s="9"/>
      <c r="N44" s="9"/>
      <c r="O44" s="9"/>
      <c r="P44" s="9"/>
    </row>
    <row r="45" ht="30.0" customHeight="1">
      <c r="A45" s="4" t="s">
        <v>124</v>
      </c>
      <c r="B45" s="5" t="s">
        <v>125</v>
      </c>
      <c r="C45" s="11">
        <v>6000.0</v>
      </c>
      <c r="D45" s="10" t="str">
        <f t="shared" ref="D45:D49" si="3">HYPERLINK("http://www.usrc.it/AppRendiConta/det_77_20170215.pdf","DETERMINA N. 77 DEL 15/02/2017")</f>
        <v>DETERMINA N. 77 DEL 15/02/2017</v>
      </c>
      <c r="E45" s="5" t="s">
        <v>126</v>
      </c>
      <c r="F45" s="8" t="s">
        <v>12</v>
      </c>
      <c r="G45" s="8" t="s">
        <v>106</v>
      </c>
      <c r="H45" s="9"/>
      <c r="I45" s="9"/>
      <c r="J45" s="9"/>
      <c r="K45" s="9"/>
      <c r="L45" s="9"/>
      <c r="M45" s="9"/>
      <c r="N45" s="9"/>
      <c r="O45" s="9"/>
      <c r="P45" s="9"/>
    </row>
    <row r="46" ht="30.0" customHeight="1">
      <c r="A46" s="4" t="s">
        <v>63</v>
      </c>
      <c r="B46" s="5" t="s">
        <v>64</v>
      </c>
      <c r="C46" s="11">
        <v>18800.0</v>
      </c>
      <c r="D46" s="10" t="str">
        <f t="shared" si="3"/>
        <v>DETERMINA N. 77 DEL 15/02/2017</v>
      </c>
      <c r="E46" s="5" t="s">
        <v>127</v>
      </c>
      <c r="F46" s="8" t="s">
        <v>12</v>
      </c>
      <c r="G46" s="8" t="s">
        <v>106</v>
      </c>
      <c r="H46" s="9"/>
      <c r="I46" s="9"/>
      <c r="J46" s="9"/>
      <c r="K46" s="9"/>
      <c r="L46" s="9"/>
      <c r="M46" s="9"/>
      <c r="N46" s="9"/>
      <c r="O46" s="9"/>
      <c r="P46" s="9"/>
    </row>
    <row r="47" ht="30.0" customHeight="1">
      <c r="A47" s="4" t="s">
        <v>128</v>
      </c>
      <c r="B47" s="5" t="s">
        <v>129</v>
      </c>
      <c r="C47" s="11">
        <v>15690.0</v>
      </c>
      <c r="D47" s="10" t="str">
        <f t="shared" si="3"/>
        <v>DETERMINA N. 77 DEL 15/02/2017</v>
      </c>
      <c r="E47" s="5" t="s">
        <v>130</v>
      </c>
      <c r="F47" s="8" t="s">
        <v>12</v>
      </c>
      <c r="G47" s="8" t="s">
        <v>106</v>
      </c>
      <c r="H47" s="9"/>
      <c r="I47" s="9"/>
      <c r="J47" s="9"/>
      <c r="K47" s="9"/>
      <c r="L47" s="9"/>
      <c r="M47" s="9"/>
      <c r="N47" s="9"/>
      <c r="O47" s="9"/>
      <c r="P47" s="9"/>
    </row>
    <row r="48" ht="30.0" customHeight="1">
      <c r="A48" s="4" t="s">
        <v>131</v>
      </c>
      <c r="B48" s="5" t="s">
        <v>132</v>
      </c>
      <c r="C48" s="11">
        <v>4000.0</v>
      </c>
      <c r="D48" s="10" t="str">
        <f t="shared" si="3"/>
        <v>DETERMINA N. 77 DEL 15/02/2017</v>
      </c>
      <c r="E48" s="5" t="s">
        <v>133</v>
      </c>
      <c r="F48" s="8" t="s">
        <v>12</v>
      </c>
      <c r="G48" s="8" t="s">
        <v>106</v>
      </c>
      <c r="H48" s="9"/>
      <c r="I48" s="9"/>
      <c r="J48" s="9"/>
      <c r="K48" s="9"/>
      <c r="L48" s="9"/>
      <c r="M48" s="9"/>
      <c r="N48" s="9"/>
      <c r="O48" s="9"/>
      <c r="P48" s="9"/>
    </row>
    <row r="49" ht="30.0" customHeight="1">
      <c r="A49" s="4" t="s">
        <v>134</v>
      </c>
      <c r="B49" s="5" t="s">
        <v>135</v>
      </c>
      <c r="C49" s="11">
        <v>41000.0</v>
      </c>
      <c r="D49" s="10" t="str">
        <f t="shared" si="3"/>
        <v>DETERMINA N. 77 DEL 15/02/2017</v>
      </c>
      <c r="E49" s="5" t="s">
        <v>136</v>
      </c>
      <c r="F49" s="8" t="s">
        <v>12</v>
      </c>
      <c r="G49" s="8" t="s">
        <v>106</v>
      </c>
      <c r="H49" s="9"/>
      <c r="I49" s="9"/>
      <c r="J49" s="9"/>
      <c r="K49" s="9"/>
      <c r="L49" s="9"/>
      <c r="M49" s="9"/>
      <c r="N49" s="9"/>
      <c r="O49" s="9"/>
      <c r="P49" s="9"/>
    </row>
    <row r="50" ht="30.0" customHeight="1">
      <c r="A50" s="4" t="s">
        <v>137</v>
      </c>
      <c r="B50" s="12" t="s">
        <v>138</v>
      </c>
      <c r="C50" s="11">
        <v>91290.96</v>
      </c>
      <c r="D50" s="10" t="str">
        <f>HYPERLINK("http://www.usrc.it/AppRendiConta/det_79_20170215.pdf","DETERMINA N. 79 DEL 15/02/2017")</f>
        <v>DETERMINA N. 79 DEL 15/02/2017</v>
      </c>
      <c r="E50" s="5" t="s">
        <v>139</v>
      </c>
      <c r="F50" s="8" t="s">
        <v>12</v>
      </c>
      <c r="G50" s="8" t="s">
        <v>58</v>
      </c>
      <c r="H50" s="9"/>
      <c r="I50" s="9"/>
      <c r="J50" s="9"/>
      <c r="K50" s="9"/>
      <c r="L50" s="9"/>
      <c r="M50" s="9"/>
      <c r="N50" s="9"/>
      <c r="O50" s="9"/>
      <c r="P50" s="9"/>
    </row>
    <row r="51" ht="30.0" customHeight="1">
      <c r="A51" s="4" t="s">
        <v>55</v>
      </c>
      <c r="B51" s="5" t="s">
        <v>56</v>
      </c>
      <c r="C51" s="11">
        <v>1885867.18</v>
      </c>
      <c r="D51" s="10" t="str">
        <f>HYPERLINK("http://www.usrc.it/AppRendiConta/det_89_20170220.pdf","DETERMINA N. 89 DEL 20/02/2017")</f>
        <v>DETERMINA N. 89 DEL 20/02/2017</v>
      </c>
      <c r="E51" s="5" t="s">
        <v>140</v>
      </c>
      <c r="F51" s="8" t="s">
        <v>12</v>
      </c>
      <c r="G51" s="8" t="s">
        <v>13</v>
      </c>
      <c r="H51" s="9"/>
      <c r="I51" s="9"/>
      <c r="J51" s="9"/>
      <c r="K51" s="9"/>
      <c r="L51" s="9"/>
      <c r="M51" s="9"/>
      <c r="N51" s="9"/>
      <c r="O51" s="9"/>
      <c r="P51" s="9"/>
    </row>
    <row r="52" ht="30.0" customHeight="1">
      <c r="A52" s="4" t="s">
        <v>141</v>
      </c>
      <c r="B52" s="5" t="s">
        <v>142</v>
      </c>
      <c r="C52" s="11">
        <v>49678.17</v>
      </c>
      <c r="D52" s="10" t="str">
        <f>HYPERLINK("http://www.usrc.it/AppRendiConta/det_93_20170220.pdf","DETERMINA N. 93 DEL 20/02/2017")</f>
        <v>DETERMINA N. 93 DEL 20/02/2017</v>
      </c>
      <c r="E52" s="5" t="s">
        <v>143</v>
      </c>
      <c r="F52" s="8" t="s">
        <v>12</v>
      </c>
      <c r="G52" s="8" t="s">
        <v>58</v>
      </c>
      <c r="H52" s="9"/>
      <c r="I52" s="9"/>
      <c r="J52" s="9"/>
      <c r="K52" s="9"/>
      <c r="L52" s="9"/>
      <c r="M52" s="9"/>
      <c r="N52" s="9"/>
      <c r="O52" s="9"/>
      <c r="P52" s="9"/>
    </row>
    <row r="53" ht="30.0" customHeight="1">
      <c r="A53" s="4" t="s">
        <v>141</v>
      </c>
      <c r="B53" s="5" t="s">
        <v>142</v>
      </c>
      <c r="C53" s="11">
        <v>64542.63</v>
      </c>
      <c r="D53" s="10" t="str">
        <f>HYPERLINK("http://www.usrc.it/AppRendiConta/det_95_20170222.pdf","DETERMINA N. 95 DEL 22/02/2017")</f>
        <v>DETERMINA N. 95 DEL 22/02/2017</v>
      </c>
      <c r="E53" s="5" t="s">
        <v>144</v>
      </c>
      <c r="F53" s="8" t="s">
        <v>12</v>
      </c>
      <c r="G53" s="8" t="s">
        <v>58</v>
      </c>
      <c r="H53" s="9"/>
      <c r="I53" s="9"/>
      <c r="J53" s="9"/>
      <c r="K53" s="9"/>
      <c r="L53" s="9"/>
      <c r="M53" s="9"/>
      <c r="N53" s="9"/>
      <c r="O53" s="9"/>
      <c r="P53" s="9"/>
    </row>
    <row r="54" ht="30.0" customHeight="1">
      <c r="A54" s="4" t="s">
        <v>145</v>
      </c>
      <c r="B54" s="5" t="s">
        <v>146</v>
      </c>
      <c r="C54" s="11">
        <v>357000.0</v>
      </c>
      <c r="D54" s="10" t="str">
        <f>HYPERLINK("http://www.usrc.it/AppRendiConta/det_98_20170223.pdf","DETERMINA N. 98 DEL 23/02/2017")</f>
        <v>DETERMINA N. 98 DEL 23/02/2017</v>
      </c>
      <c r="E54" s="5" t="s">
        <v>147</v>
      </c>
      <c r="F54" s="8" t="s">
        <v>12</v>
      </c>
      <c r="G54" s="8" t="s">
        <v>58</v>
      </c>
      <c r="H54" s="9"/>
      <c r="I54" s="9"/>
      <c r="J54" s="9"/>
      <c r="K54" s="9"/>
      <c r="L54" s="9"/>
      <c r="M54" s="9"/>
      <c r="N54" s="9"/>
      <c r="O54" s="9"/>
      <c r="P54" s="9"/>
    </row>
    <row r="55" ht="30.0" customHeight="1">
      <c r="A55" s="4" t="s">
        <v>148</v>
      </c>
      <c r="B55" s="5" t="s">
        <v>149</v>
      </c>
      <c r="C55" s="11">
        <v>2419995.17</v>
      </c>
      <c r="D55" s="10" t="str">
        <f>HYPERLINK("http://www.usrc.it/AppRendiConta/det_104_20170223.pdf","DETERMINA N. 104 DEL 23/02/2017")</f>
        <v>DETERMINA N. 104 DEL 23/02/2017</v>
      </c>
      <c r="E55" s="5" t="s">
        <v>150</v>
      </c>
      <c r="F55" s="8" t="s">
        <v>12</v>
      </c>
      <c r="G55" s="8" t="s">
        <v>151</v>
      </c>
      <c r="H55" s="9"/>
      <c r="I55" s="9"/>
      <c r="J55" s="9"/>
      <c r="K55" s="9"/>
      <c r="L55" s="9"/>
      <c r="M55" s="9"/>
      <c r="N55" s="9"/>
      <c r="O55" s="9"/>
      <c r="P55" s="9"/>
    </row>
    <row r="56" ht="30.0" customHeight="1">
      <c r="A56" s="4" t="s">
        <v>152</v>
      </c>
      <c r="B56" s="5" t="s">
        <v>153</v>
      </c>
      <c r="C56" s="11">
        <v>485638.3</v>
      </c>
      <c r="D56" s="10" t="str">
        <f>HYPERLINK("http://www.usrc.it/AppRendiConta/det_107_20170223.pdf","DETERMINA N. 107 DEL 23/02/2017")</f>
        <v>DETERMINA N. 107 DEL 23/02/2017</v>
      </c>
      <c r="E56" s="5" t="s">
        <v>154</v>
      </c>
      <c r="F56" s="8" t="s">
        <v>12</v>
      </c>
      <c r="G56" s="8" t="s">
        <v>58</v>
      </c>
      <c r="H56" s="9"/>
      <c r="I56" s="9"/>
      <c r="J56" s="9"/>
      <c r="K56" s="9"/>
      <c r="L56" s="9"/>
      <c r="M56" s="9"/>
      <c r="N56" s="9"/>
      <c r="O56" s="9"/>
      <c r="P56" s="9"/>
    </row>
    <row r="57" ht="30.0" customHeight="1">
      <c r="A57" s="4" t="s">
        <v>155</v>
      </c>
      <c r="B57" s="5" t="s">
        <v>156</v>
      </c>
      <c r="C57" s="11">
        <v>332220.86</v>
      </c>
      <c r="D57" s="10" t="str">
        <f>HYPERLINK("http://www.usrc.it/AppRendiConta/det_116_20170228.pdf","DETERMINA N. 116 DEL 28/02/2017")</f>
        <v>DETERMINA N. 116 DEL 28/02/2017</v>
      </c>
      <c r="E57" s="5" t="s">
        <v>157</v>
      </c>
      <c r="F57" s="8" t="s">
        <v>12</v>
      </c>
      <c r="G57" s="8" t="s">
        <v>13</v>
      </c>
      <c r="H57" s="9"/>
      <c r="I57" s="9"/>
      <c r="J57" s="9"/>
      <c r="K57" s="9"/>
      <c r="L57" s="9"/>
      <c r="M57" s="9"/>
      <c r="N57" s="9"/>
      <c r="O57" s="9"/>
      <c r="P57" s="9"/>
    </row>
    <row r="58" ht="30.0" customHeight="1">
      <c r="A58" s="4" t="s">
        <v>36</v>
      </c>
      <c r="B58" s="5" t="s">
        <v>37</v>
      </c>
      <c r="C58" s="11">
        <v>5709.6</v>
      </c>
      <c r="D58" s="10" t="str">
        <f>HYPERLINK("http://www.usrc.it/AppRendiConta/det_118_20170228.pdf","DETERMINA N. 118 DEL 28/02/2017")</f>
        <v>DETERMINA N. 118 DEL 28/02/2017</v>
      </c>
      <c r="E58" s="5" t="s">
        <v>158</v>
      </c>
      <c r="F58" s="8" t="s">
        <v>12</v>
      </c>
      <c r="G58" s="8" t="s">
        <v>24</v>
      </c>
      <c r="H58" s="9"/>
      <c r="I58" s="9"/>
      <c r="J58" s="9"/>
      <c r="K58" s="9"/>
      <c r="L58" s="9"/>
      <c r="M58" s="9"/>
      <c r="N58" s="9"/>
      <c r="O58" s="9"/>
      <c r="P58" s="9"/>
    </row>
    <row r="59" ht="30.0" customHeight="1">
      <c r="A59" s="4" t="s">
        <v>159</v>
      </c>
      <c r="B59" s="5" t="s">
        <v>160</v>
      </c>
      <c r="C59" s="11">
        <v>62985.26</v>
      </c>
      <c r="D59" s="10" t="str">
        <f>HYPERLINK("http://www.usrc.it/AppRendiConta/det_119_20170228.pdf","DETERMINA N. 119 DEL 28/02/2017")</f>
        <v>DETERMINA N. 119 DEL 28/02/2017</v>
      </c>
      <c r="E59" s="5" t="s">
        <v>161</v>
      </c>
      <c r="F59" s="8" t="s">
        <v>12</v>
      </c>
      <c r="G59" s="8" t="s">
        <v>24</v>
      </c>
      <c r="H59" s="9"/>
      <c r="I59" s="9"/>
      <c r="J59" s="9"/>
      <c r="K59" s="9"/>
      <c r="L59" s="9"/>
      <c r="M59" s="9"/>
      <c r="N59" s="9"/>
      <c r="O59" s="9"/>
      <c r="P59" s="9"/>
    </row>
    <row r="60" ht="30.0" customHeight="1">
      <c r="A60" s="4" t="s">
        <v>90</v>
      </c>
      <c r="B60" s="5" t="s">
        <v>91</v>
      </c>
      <c r="C60" s="11">
        <v>15127.42</v>
      </c>
      <c r="D60" s="10" t="str">
        <f>HYPERLINK("http://www.usrc.it/AppRendiConta/det_120_20170228.pdf","DETERMINA N. 120 DEL 28/02/2017")</f>
        <v>DETERMINA N. 120 DEL 28/02/2017</v>
      </c>
      <c r="E60" s="5" t="s">
        <v>162</v>
      </c>
      <c r="F60" s="8" t="s">
        <v>12</v>
      </c>
      <c r="G60" s="8" t="s">
        <v>28</v>
      </c>
      <c r="H60" s="9"/>
      <c r="I60" s="9"/>
      <c r="J60" s="9"/>
      <c r="K60" s="9"/>
      <c r="L60" s="9"/>
      <c r="M60" s="9"/>
      <c r="N60" s="9"/>
      <c r="O60" s="9"/>
      <c r="P60" s="9"/>
    </row>
    <row r="61" ht="30.0" customHeight="1">
      <c r="A61" s="4" t="s">
        <v>32</v>
      </c>
      <c r="B61" s="5" t="s">
        <v>33</v>
      </c>
      <c r="C61" s="11">
        <v>12276.24</v>
      </c>
      <c r="D61" s="10" t="str">
        <f>HYPERLINK("http://www.usrc.it/AppRendiConta/det_121_20170228.pdf","DETERMINA N. 121 DEL 28/02/2017")</f>
        <v>DETERMINA N. 121 DEL 28/02/2017</v>
      </c>
      <c r="E61" s="5" t="s">
        <v>163</v>
      </c>
      <c r="F61" s="8" t="s">
        <v>12</v>
      </c>
      <c r="G61" s="8" t="s">
        <v>28</v>
      </c>
      <c r="H61" s="9"/>
      <c r="I61" s="9"/>
      <c r="J61" s="9"/>
      <c r="K61" s="9"/>
      <c r="L61" s="9"/>
      <c r="M61" s="9"/>
      <c r="N61" s="9"/>
      <c r="O61" s="9"/>
      <c r="P61" s="9"/>
    </row>
    <row r="62" ht="30.0" customHeight="1">
      <c r="A62" s="4" t="s">
        <v>164</v>
      </c>
      <c r="B62" s="5" t="s">
        <v>165</v>
      </c>
      <c r="C62" s="11">
        <v>69974.99</v>
      </c>
      <c r="D62" s="10" t="str">
        <f>HYPERLINK("http://www.usrc.it/AppRendiConta/det_122_20170228.pdf","DETERMINA N. 122 DEL 28/02/2017")</f>
        <v>DETERMINA N. 122 DEL 28/02/2017</v>
      </c>
      <c r="E62" s="5" t="s">
        <v>166</v>
      </c>
      <c r="F62" s="8" t="s">
        <v>12</v>
      </c>
      <c r="G62" s="8" t="s">
        <v>28</v>
      </c>
      <c r="H62" s="9"/>
      <c r="I62" s="9"/>
      <c r="J62" s="9"/>
      <c r="K62" s="9"/>
      <c r="L62" s="9"/>
      <c r="M62" s="9"/>
      <c r="N62" s="9"/>
      <c r="O62" s="9"/>
      <c r="P62" s="9"/>
    </row>
    <row r="63" ht="30.0" customHeight="1">
      <c r="A63" s="4" t="s">
        <v>14</v>
      </c>
      <c r="B63" s="5" t="s">
        <v>15</v>
      </c>
      <c r="C63" s="11">
        <v>2000.0</v>
      </c>
      <c r="D63" s="10" t="str">
        <f t="shared" ref="D63:D70" si="4">HYPERLINK("http://www.usrc.it/AppRendiConta/det_123_20170302.pdf","DETERMINA N. 123 DEL 02/03/2017")</f>
        <v>DETERMINA N. 123 DEL 02/03/2017</v>
      </c>
      <c r="E63" s="5" t="s">
        <v>167</v>
      </c>
      <c r="F63" s="8" t="s">
        <v>12</v>
      </c>
      <c r="G63" s="8" t="s">
        <v>168</v>
      </c>
      <c r="H63" s="9"/>
      <c r="I63" s="9"/>
      <c r="J63" s="9"/>
      <c r="K63" s="9"/>
      <c r="L63" s="9"/>
      <c r="M63" s="9"/>
      <c r="N63" s="9"/>
      <c r="O63" s="9"/>
      <c r="P63" s="9"/>
    </row>
    <row r="64" ht="30.0" customHeight="1">
      <c r="A64" s="4" t="s">
        <v>169</v>
      </c>
      <c r="B64" s="5" t="s">
        <v>170</v>
      </c>
      <c r="C64" s="11">
        <v>2488.8</v>
      </c>
      <c r="D64" s="10" t="str">
        <f t="shared" si="4"/>
        <v>DETERMINA N. 123 DEL 02/03/2017</v>
      </c>
      <c r="E64" s="5" t="s">
        <v>171</v>
      </c>
      <c r="F64" s="8" t="s">
        <v>12</v>
      </c>
      <c r="G64" s="8" t="s">
        <v>168</v>
      </c>
      <c r="H64" s="9"/>
      <c r="I64" s="9"/>
      <c r="J64" s="9"/>
      <c r="K64" s="9"/>
      <c r="L64" s="9"/>
      <c r="M64" s="9"/>
      <c r="N64" s="9"/>
      <c r="O64" s="9"/>
      <c r="P64" s="9"/>
    </row>
    <row r="65" ht="30.0" customHeight="1">
      <c r="A65" s="4" t="s">
        <v>172</v>
      </c>
      <c r="B65" s="5" t="s">
        <v>173</v>
      </c>
      <c r="C65" s="11">
        <v>166428.18</v>
      </c>
      <c r="D65" s="10" t="str">
        <f t="shared" si="4"/>
        <v>DETERMINA N. 123 DEL 02/03/2017</v>
      </c>
      <c r="E65" s="5" t="s">
        <v>174</v>
      </c>
      <c r="F65" s="8" t="s">
        <v>12</v>
      </c>
      <c r="G65" s="8" t="s">
        <v>168</v>
      </c>
      <c r="H65" s="9"/>
      <c r="I65" s="9"/>
      <c r="J65" s="9"/>
      <c r="K65" s="9"/>
      <c r="L65" s="9"/>
      <c r="M65" s="9"/>
      <c r="N65" s="9"/>
      <c r="O65" s="9"/>
      <c r="P65" s="9"/>
    </row>
    <row r="66" ht="30.0" customHeight="1">
      <c r="A66" s="4" t="s">
        <v>175</v>
      </c>
      <c r="B66" s="5" t="s">
        <v>176</v>
      </c>
      <c r="C66" s="11">
        <v>366.0</v>
      </c>
      <c r="D66" s="10" t="str">
        <f t="shared" si="4"/>
        <v>DETERMINA N. 123 DEL 02/03/2017</v>
      </c>
      <c r="E66" s="5" t="s">
        <v>167</v>
      </c>
      <c r="F66" s="8" t="s">
        <v>12</v>
      </c>
      <c r="G66" s="8" t="s">
        <v>168</v>
      </c>
      <c r="H66" s="9"/>
      <c r="I66" s="9"/>
      <c r="J66" s="9"/>
      <c r="K66" s="9"/>
      <c r="L66" s="9"/>
      <c r="M66" s="9"/>
      <c r="N66" s="9"/>
      <c r="O66" s="9"/>
      <c r="P66" s="9"/>
    </row>
    <row r="67" ht="30.0" customHeight="1">
      <c r="A67" s="4" t="s">
        <v>120</v>
      </c>
      <c r="B67" s="5" t="s">
        <v>121</v>
      </c>
      <c r="C67" s="11">
        <v>3396.0</v>
      </c>
      <c r="D67" s="10" t="str">
        <f t="shared" si="4"/>
        <v>DETERMINA N. 123 DEL 02/03/2017</v>
      </c>
      <c r="E67" s="5" t="s">
        <v>171</v>
      </c>
      <c r="F67" s="8" t="s">
        <v>12</v>
      </c>
      <c r="G67" s="8" t="s">
        <v>168</v>
      </c>
      <c r="H67" s="9"/>
      <c r="I67" s="9"/>
      <c r="J67" s="9"/>
      <c r="K67" s="9"/>
      <c r="L67" s="9"/>
      <c r="M67" s="9"/>
      <c r="N67" s="9"/>
      <c r="O67" s="9"/>
      <c r="P67" s="9"/>
    </row>
    <row r="68" ht="30.0" customHeight="1">
      <c r="A68" s="4" t="s">
        <v>95</v>
      </c>
      <c r="B68" s="5" t="s">
        <v>96</v>
      </c>
      <c r="C68" s="11">
        <v>9537.6</v>
      </c>
      <c r="D68" s="10" t="str">
        <f t="shared" si="4"/>
        <v>DETERMINA N. 123 DEL 02/03/2017</v>
      </c>
      <c r="E68" s="5" t="s">
        <v>177</v>
      </c>
      <c r="F68" s="8" t="s">
        <v>12</v>
      </c>
      <c r="G68" s="8" t="s">
        <v>168</v>
      </c>
      <c r="H68" s="9"/>
      <c r="I68" s="9"/>
      <c r="J68" s="9"/>
      <c r="K68" s="9"/>
      <c r="L68" s="9"/>
      <c r="M68" s="9"/>
      <c r="N68" s="9"/>
      <c r="O68" s="9"/>
      <c r="P68" s="9"/>
    </row>
    <row r="69" ht="30.0" customHeight="1">
      <c r="A69" s="4" t="s">
        <v>32</v>
      </c>
      <c r="B69" s="5" t="s">
        <v>33</v>
      </c>
      <c r="C69" s="11">
        <v>3826.8</v>
      </c>
      <c r="D69" s="10" t="str">
        <f t="shared" si="4"/>
        <v>DETERMINA N. 123 DEL 02/03/2017</v>
      </c>
      <c r="E69" s="5" t="s">
        <v>178</v>
      </c>
      <c r="F69" s="8" t="s">
        <v>12</v>
      </c>
      <c r="G69" s="8" t="s">
        <v>168</v>
      </c>
      <c r="H69" s="9"/>
      <c r="I69" s="9"/>
      <c r="J69" s="9"/>
      <c r="K69" s="9"/>
      <c r="L69" s="9"/>
      <c r="M69" s="9"/>
      <c r="N69" s="9"/>
      <c r="O69" s="9"/>
      <c r="P69" s="9"/>
    </row>
    <row r="70" ht="30.0" customHeight="1">
      <c r="A70" s="4" t="s">
        <v>179</v>
      </c>
      <c r="B70" s="5" t="s">
        <v>180</v>
      </c>
      <c r="C70" s="11">
        <v>1917.6</v>
      </c>
      <c r="D70" s="10" t="str">
        <f t="shared" si="4"/>
        <v>DETERMINA N. 123 DEL 02/03/2017</v>
      </c>
      <c r="E70" s="5" t="s">
        <v>181</v>
      </c>
      <c r="F70" s="8" t="s">
        <v>12</v>
      </c>
      <c r="G70" s="8" t="s">
        <v>168</v>
      </c>
      <c r="H70" s="9"/>
      <c r="I70" s="9"/>
      <c r="J70" s="9"/>
      <c r="K70" s="9"/>
      <c r="L70" s="9"/>
      <c r="M70" s="9"/>
      <c r="N70" s="9"/>
      <c r="O70" s="9"/>
      <c r="P70" s="9"/>
    </row>
    <row r="71" ht="30.0" customHeight="1">
      <c r="A71" s="4" t="s">
        <v>182</v>
      </c>
      <c r="B71" s="5" t="s">
        <v>183</v>
      </c>
      <c r="C71" s="11">
        <v>5000.0</v>
      </c>
      <c r="D71" s="10" t="str">
        <f t="shared" ref="D71:D72" si="5">HYPERLINK("http://www.usrc.it/AppRendiConta/det_124_20170302.pdf","DETERMINA N. 124 DEL 02/03/2017")</f>
        <v>DETERMINA N. 124 DEL 02/03/2017</v>
      </c>
      <c r="E71" s="5" t="s">
        <v>184</v>
      </c>
      <c r="F71" s="8" t="s">
        <v>12</v>
      </c>
      <c r="G71" s="8" t="s">
        <v>168</v>
      </c>
      <c r="H71" s="9"/>
      <c r="I71" s="9"/>
      <c r="J71" s="9"/>
      <c r="K71" s="9"/>
      <c r="L71" s="9"/>
      <c r="M71" s="9"/>
      <c r="N71" s="9"/>
      <c r="O71" s="9"/>
      <c r="P71" s="9"/>
    </row>
    <row r="72" ht="30.0" customHeight="1">
      <c r="A72" s="4" t="s">
        <v>131</v>
      </c>
      <c r="B72" s="13" t="s">
        <v>132</v>
      </c>
      <c r="C72" s="11">
        <v>18544.0</v>
      </c>
      <c r="D72" s="10" t="str">
        <f t="shared" si="5"/>
        <v>DETERMINA N. 124 DEL 02/03/2017</v>
      </c>
      <c r="E72" s="5" t="s">
        <v>171</v>
      </c>
      <c r="F72" s="8" t="s">
        <v>12</v>
      </c>
      <c r="G72" s="8" t="s">
        <v>168</v>
      </c>
      <c r="H72" s="9"/>
      <c r="I72" s="9"/>
      <c r="J72" s="9"/>
      <c r="K72" s="9"/>
      <c r="L72" s="9"/>
      <c r="M72" s="9"/>
      <c r="N72" s="9"/>
      <c r="O72" s="9"/>
      <c r="P72" s="9"/>
    </row>
    <row r="73" ht="30.0" customHeight="1">
      <c r="A73" s="4" t="s">
        <v>185</v>
      </c>
      <c r="B73" s="5" t="s">
        <v>186</v>
      </c>
      <c r="C73" s="11">
        <v>105380.29</v>
      </c>
      <c r="D73" s="10" t="str">
        <f>HYPERLINK("http://www.usrc.it/AppRendiConta/det_128_20170303.pdf","DETERMINA N. 128 DEL 03/03/2017")</f>
        <v>DETERMINA N. 128 DEL 03/03/2017</v>
      </c>
      <c r="E73" s="5" t="s">
        <v>187</v>
      </c>
      <c r="F73" s="8" t="s">
        <v>12</v>
      </c>
      <c r="G73" s="8" t="s">
        <v>24</v>
      </c>
      <c r="H73" s="9"/>
      <c r="I73" s="9"/>
      <c r="J73" s="9"/>
      <c r="K73" s="9"/>
      <c r="L73" s="9"/>
      <c r="M73" s="9"/>
      <c r="N73" s="9"/>
      <c r="O73" s="9"/>
      <c r="P73" s="9"/>
    </row>
    <row r="74" ht="30.0" customHeight="1">
      <c r="A74" s="4" t="s">
        <v>124</v>
      </c>
      <c r="B74" s="5" t="s">
        <v>125</v>
      </c>
      <c r="C74" s="11">
        <v>15722.75</v>
      </c>
      <c r="D74" s="10" t="str">
        <f>HYPERLINK("http://www.usrc.it/AppRendiConta/det_134_20170303.pdf","DETERMINA N. 134 DEL 03/03/2017")</f>
        <v>DETERMINA N. 134 DEL 03/03/2017</v>
      </c>
      <c r="E74" s="5" t="s">
        <v>188</v>
      </c>
      <c r="F74" s="8" t="s">
        <v>12</v>
      </c>
      <c r="G74" s="8" t="s">
        <v>13</v>
      </c>
      <c r="H74" s="9"/>
      <c r="I74" s="9"/>
      <c r="J74" s="9"/>
      <c r="K74" s="9"/>
      <c r="L74" s="9"/>
      <c r="M74" s="9"/>
      <c r="N74" s="9"/>
      <c r="O74" s="9"/>
      <c r="P74" s="9"/>
    </row>
    <row r="75" ht="30.0" customHeight="1">
      <c r="A75" s="4" t="s">
        <v>185</v>
      </c>
      <c r="B75" s="5" t="s">
        <v>186</v>
      </c>
      <c r="C75" s="11">
        <v>18090.44</v>
      </c>
      <c r="D75" s="10" t="str">
        <f>HYPERLINK("http://www.usrc.it/AppRendiConta/det_136_20170303.pdf","DETERMINA N. 136 DEL 03/03/2017")</f>
        <v>DETERMINA N. 136 DEL 03/03/2017</v>
      </c>
      <c r="E75" s="5" t="s">
        <v>189</v>
      </c>
      <c r="F75" s="8" t="s">
        <v>12</v>
      </c>
      <c r="G75" s="8" t="s">
        <v>24</v>
      </c>
      <c r="H75" s="9"/>
      <c r="I75" s="9"/>
      <c r="J75" s="9"/>
      <c r="K75" s="9"/>
      <c r="L75" s="9"/>
      <c r="M75" s="9"/>
      <c r="N75" s="9"/>
      <c r="O75" s="9"/>
      <c r="P75" s="9"/>
    </row>
    <row r="76" ht="30.0" customHeight="1">
      <c r="A76" s="4" t="s">
        <v>190</v>
      </c>
      <c r="B76" s="5" t="s">
        <v>191</v>
      </c>
      <c r="C76" s="11">
        <v>194233.71</v>
      </c>
      <c r="D76" s="10" t="str">
        <f>HYPERLINK("http://www.usrc.it/AppRendiConta/det_137_20170303.pdf","DETERMINA N. 137 DEL 03/03/2017")</f>
        <v>DETERMINA N. 137 DEL 03/03/2017</v>
      </c>
      <c r="E76" s="5" t="s">
        <v>192</v>
      </c>
      <c r="F76" s="8" t="s">
        <v>12</v>
      </c>
      <c r="G76" s="8" t="s">
        <v>24</v>
      </c>
      <c r="H76" s="9"/>
      <c r="I76" s="9"/>
      <c r="J76" s="9"/>
      <c r="K76" s="9"/>
      <c r="L76" s="9"/>
      <c r="M76" s="9"/>
      <c r="N76" s="9"/>
      <c r="O76" s="9"/>
      <c r="P76" s="9"/>
    </row>
    <row r="77" ht="30.0" customHeight="1">
      <c r="A77" s="4" t="s">
        <v>193</v>
      </c>
      <c r="B77" s="5" t="s">
        <v>194</v>
      </c>
      <c r="C77" s="11">
        <v>81895.24</v>
      </c>
      <c r="D77" s="10" t="str">
        <f>HYPERLINK("http://www.usrc.it/AppRendiConta/det_138_20170303.pdf","DETERMINA N. 138 DEL 03/03/2017")</f>
        <v>DETERMINA N. 138 DEL 03/03/2017</v>
      </c>
      <c r="E77" s="5" t="s">
        <v>195</v>
      </c>
      <c r="F77" s="8" t="s">
        <v>12</v>
      </c>
      <c r="G77" s="8" t="s">
        <v>24</v>
      </c>
      <c r="H77" s="9"/>
      <c r="I77" s="9"/>
      <c r="J77" s="9"/>
      <c r="K77" s="9"/>
      <c r="L77" s="9"/>
      <c r="M77" s="9"/>
      <c r="N77" s="9"/>
      <c r="O77" s="9"/>
      <c r="P77" s="9"/>
    </row>
    <row r="78" ht="30.0" customHeight="1">
      <c r="A78" s="4" t="s">
        <v>76</v>
      </c>
      <c r="B78" s="5" t="s">
        <v>77</v>
      </c>
      <c r="C78" s="11">
        <v>48253.38</v>
      </c>
      <c r="D78" s="10" t="str">
        <f>HYPERLINK("http://www.usrc.it/AppRendiConta/det_139_20170303.pdf","DETERMINA N. 139 DEL 03/03/2017")</f>
        <v>DETERMINA N. 139 DEL 03/03/2017</v>
      </c>
      <c r="E78" s="5" t="s">
        <v>196</v>
      </c>
      <c r="F78" s="8" t="s">
        <v>12</v>
      </c>
      <c r="G78" s="8" t="s">
        <v>24</v>
      </c>
      <c r="H78" s="9"/>
      <c r="I78" s="9"/>
      <c r="J78" s="9"/>
      <c r="K78" s="9"/>
      <c r="L78" s="9"/>
      <c r="M78" s="9"/>
      <c r="N78" s="9"/>
      <c r="O78" s="9"/>
      <c r="P78" s="9"/>
    </row>
    <row r="79" ht="30.0" customHeight="1">
      <c r="A79" s="4" t="s">
        <v>49</v>
      </c>
      <c r="B79" s="5" t="s">
        <v>50</v>
      </c>
      <c r="C79" s="11">
        <v>225618.73</v>
      </c>
      <c r="D79" s="10" t="str">
        <f>HYPERLINK("http://www.usrc.it/AppRendiConta/det_140_20170303.pdf","DETERMINA N. 140 DEL 03/03/2017")</f>
        <v>DETERMINA N. 140 DEL 03/03/2017</v>
      </c>
      <c r="E79" s="5" t="s">
        <v>197</v>
      </c>
      <c r="F79" s="8" t="s">
        <v>12</v>
      </c>
      <c r="G79" s="8" t="s">
        <v>24</v>
      </c>
      <c r="H79" s="9"/>
      <c r="I79" s="9"/>
      <c r="J79" s="9"/>
      <c r="K79" s="9"/>
      <c r="L79" s="9"/>
      <c r="M79" s="9"/>
      <c r="N79" s="9"/>
      <c r="O79" s="9"/>
      <c r="P79" s="9"/>
    </row>
    <row r="80" ht="30.0" customHeight="1">
      <c r="A80" s="4" t="s">
        <v>198</v>
      </c>
      <c r="B80" s="5" t="s">
        <v>199</v>
      </c>
      <c r="C80" s="11">
        <v>310994.33</v>
      </c>
      <c r="D80" s="10" t="str">
        <f>HYPERLINK("http://www.usrc.it/AppRendiConta/det_142_20170307.pdf","DETERMINA N. 142 DEL 07/03/2017")</f>
        <v>DETERMINA N. 142 DEL 07/03/2017</v>
      </c>
      <c r="E80" s="5" t="s">
        <v>200</v>
      </c>
      <c r="F80" s="8" t="s">
        <v>12</v>
      </c>
      <c r="G80" s="8" t="s">
        <v>24</v>
      </c>
      <c r="H80" s="9"/>
      <c r="I80" s="9"/>
      <c r="J80" s="9"/>
      <c r="K80" s="9"/>
      <c r="L80" s="9"/>
      <c r="M80" s="9"/>
      <c r="N80" s="9"/>
      <c r="O80" s="9"/>
      <c r="P80" s="9"/>
    </row>
    <row r="81" ht="30.0" customHeight="1">
      <c r="A81" s="4" t="s">
        <v>201</v>
      </c>
      <c r="B81" s="5" t="s">
        <v>202</v>
      </c>
      <c r="C81" s="11">
        <v>543327.87</v>
      </c>
      <c r="D81" s="10" t="str">
        <f>HYPERLINK("http://www.usrc.it/AppRendiConta/det_147_20170307.pdf","DETERMINA N. 147 DEL 07/03/2017")</f>
        <v>DETERMINA N. 147 DEL 07/03/2017</v>
      </c>
      <c r="E81" s="5" t="s">
        <v>203</v>
      </c>
      <c r="F81" s="8" t="s">
        <v>12</v>
      </c>
      <c r="G81" s="8" t="s">
        <v>204</v>
      </c>
      <c r="H81" s="9"/>
      <c r="I81" s="9"/>
      <c r="J81" s="9"/>
      <c r="K81" s="9"/>
      <c r="L81" s="9"/>
      <c r="M81" s="9"/>
      <c r="N81" s="9"/>
      <c r="O81" s="9"/>
      <c r="P81" s="9"/>
    </row>
    <row r="82" ht="30.0" customHeight="1">
      <c r="A82" s="4" t="s">
        <v>32</v>
      </c>
      <c r="B82" s="5" t="s">
        <v>33</v>
      </c>
      <c r="C82" s="11">
        <v>792.24</v>
      </c>
      <c r="D82" s="10" t="str">
        <f>HYPERLINK("http://www.usrc.it/AppRendiConta/det_148_20170307.pdf","DETERMINA N. 148 DEL 07/03/2017")</f>
        <v>DETERMINA N. 148 DEL 07/03/2017</v>
      </c>
      <c r="E82" s="5" t="s">
        <v>205</v>
      </c>
      <c r="F82" s="8" t="s">
        <v>12</v>
      </c>
      <c r="G82" s="8" t="s">
        <v>206</v>
      </c>
      <c r="H82" s="9"/>
      <c r="I82" s="9"/>
      <c r="J82" s="9"/>
      <c r="K82" s="9"/>
      <c r="L82" s="9"/>
      <c r="M82" s="9"/>
      <c r="N82" s="9"/>
      <c r="O82" s="9"/>
      <c r="P82" s="9"/>
    </row>
    <row r="83" ht="30.0" customHeight="1">
      <c r="A83" s="4" t="s">
        <v>207</v>
      </c>
      <c r="B83" s="5" t="s">
        <v>208</v>
      </c>
      <c r="C83" s="11">
        <v>84078.89</v>
      </c>
      <c r="D83" s="10" t="str">
        <f>HYPERLINK("http://www.usrc.it/AppRendiConta/det_149_20170307.pdf","DETERMINA N. 149 DEL 07/03/2017")</f>
        <v>DETERMINA N. 149 DEL 07/03/2017</v>
      </c>
      <c r="E83" s="5" t="s">
        <v>209</v>
      </c>
      <c r="F83" s="8" t="s">
        <v>12</v>
      </c>
      <c r="G83" s="8" t="s">
        <v>58</v>
      </c>
      <c r="H83" s="9"/>
      <c r="I83" s="9"/>
      <c r="J83" s="9"/>
      <c r="K83" s="9"/>
      <c r="L83" s="9"/>
      <c r="M83" s="9"/>
      <c r="N83" s="9"/>
      <c r="O83" s="9"/>
      <c r="P83" s="9"/>
    </row>
    <row r="84" ht="30.0" customHeight="1">
      <c r="A84" s="4" t="s">
        <v>210</v>
      </c>
      <c r="B84" s="5" t="s">
        <v>211</v>
      </c>
      <c r="C84" s="11">
        <v>221978.59</v>
      </c>
      <c r="D84" s="10" t="str">
        <f>HYPERLINK("http://www.usrc.it/AppRendiConta/det_150_20170307.pdf","DETERMINA N. 150 DEL 07/03/2017")</f>
        <v>DETERMINA N. 150 DEL 07/03/2017</v>
      </c>
      <c r="E84" s="5" t="s">
        <v>212</v>
      </c>
      <c r="F84" s="8" t="s">
        <v>12</v>
      </c>
      <c r="G84" s="8" t="s">
        <v>58</v>
      </c>
      <c r="H84" s="9"/>
      <c r="I84" s="9"/>
      <c r="J84" s="9"/>
      <c r="K84" s="9"/>
      <c r="L84" s="9"/>
      <c r="M84" s="9"/>
      <c r="N84" s="9"/>
      <c r="O84" s="9"/>
      <c r="P84" s="9"/>
    </row>
    <row r="85" ht="30.0" customHeight="1">
      <c r="A85" s="4" t="s">
        <v>137</v>
      </c>
      <c r="B85" s="5" t="s">
        <v>138</v>
      </c>
      <c r="C85" s="11">
        <v>126324.37</v>
      </c>
      <c r="D85" s="10" t="str">
        <f>HYPERLINK("http://www.usrc.it/AppRendiConta/det_151_20170307.pdf","DETERMINA N. 151 DEL 07/03/2017")</f>
        <v>DETERMINA N. 151 DEL 07/03/2017</v>
      </c>
      <c r="E85" s="5" t="s">
        <v>213</v>
      </c>
      <c r="F85" s="8" t="s">
        <v>12</v>
      </c>
      <c r="G85" s="8" t="s">
        <v>13</v>
      </c>
      <c r="H85" s="9"/>
      <c r="I85" s="9"/>
      <c r="J85" s="9"/>
      <c r="K85" s="9"/>
      <c r="L85" s="9"/>
      <c r="M85" s="9"/>
      <c r="N85" s="9"/>
      <c r="O85" s="9"/>
      <c r="P85" s="9"/>
    </row>
    <row r="86" ht="30.0" customHeight="1">
      <c r="A86" s="4" t="s">
        <v>29</v>
      </c>
      <c r="B86" s="5" t="s">
        <v>30</v>
      </c>
      <c r="C86" s="11">
        <v>3800.0</v>
      </c>
      <c r="D86" s="10" t="str">
        <f>HYPERLINK("http://www.usrc.it/AppRendiConta/det_153_20170315.pdf","DETERMINA N. 153 DEL 15/03/2017")</f>
        <v>DETERMINA N. 153 DEL 15/03/2017</v>
      </c>
      <c r="E86" s="5" t="s">
        <v>214</v>
      </c>
      <c r="F86" s="8" t="s">
        <v>12</v>
      </c>
      <c r="G86" s="8" t="s">
        <v>28</v>
      </c>
      <c r="H86" s="9"/>
      <c r="I86" s="9"/>
      <c r="J86" s="9"/>
      <c r="K86" s="9"/>
      <c r="L86" s="9"/>
      <c r="M86" s="9"/>
      <c r="N86" s="9"/>
      <c r="O86" s="9"/>
      <c r="P86" s="9"/>
    </row>
    <row r="87" ht="30.0" customHeight="1">
      <c r="A87" s="4" t="s">
        <v>215</v>
      </c>
      <c r="B87" s="5" t="s">
        <v>216</v>
      </c>
      <c r="C87" s="11">
        <v>17238.68</v>
      </c>
      <c r="D87" s="10" t="str">
        <f>HYPERLINK("http://www.usrc.it/AppRendiConta/det_154_20170315.pdf","DETERMINA N. 154 DEL 15/03/2017")</f>
        <v>DETERMINA N. 154 DEL 15/03/2017</v>
      </c>
      <c r="E87" s="5" t="s">
        <v>217</v>
      </c>
      <c r="F87" s="8" t="s">
        <v>12</v>
      </c>
      <c r="G87" s="8" t="s">
        <v>13</v>
      </c>
      <c r="H87" s="9"/>
      <c r="I87" s="9"/>
      <c r="J87" s="9"/>
      <c r="K87" s="9"/>
      <c r="L87" s="9"/>
      <c r="M87" s="9"/>
      <c r="N87" s="9"/>
      <c r="O87" s="9"/>
      <c r="P87" s="9"/>
    </row>
    <row r="88" ht="30.0" customHeight="1">
      <c r="A88" s="4" t="s">
        <v>218</v>
      </c>
      <c r="B88" s="5" t="s">
        <v>219</v>
      </c>
      <c r="C88" s="11">
        <v>34113.29</v>
      </c>
      <c r="D88" s="10" t="str">
        <f>HYPERLINK("http://www.usrc.it/AppRendiConta/det_155_20170315.pdf","DETERMINA N. 155 DEL 15/03/2017")</f>
        <v>DETERMINA N. 155 DEL 15/03/2017</v>
      </c>
      <c r="E88" s="5" t="s">
        <v>220</v>
      </c>
      <c r="F88" s="8" t="s">
        <v>12</v>
      </c>
      <c r="G88" s="8" t="s">
        <v>13</v>
      </c>
      <c r="H88" s="9"/>
      <c r="I88" s="9"/>
      <c r="J88" s="9"/>
      <c r="K88" s="9"/>
      <c r="L88" s="9"/>
      <c r="M88" s="9"/>
      <c r="N88" s="9"/>
      <c r="O88" s="9"/>
      <c r="P88" s="9"/>
    </row>
    <row r="89" ht="30.0" customHeight="1">
      <c r="A89" s="4" t="s">
        <v>159</v>
      </c>
      <c r="B89" s="5" t="s">
        <v>160</v>
      </c>
      <c r="C89" s="11">
        <v>2126482.15</v>
      </c>
      <c r="D89" s="10" t="str">
        <f>HYPERLINK("http://www.usrc.it/AppRendiConta/det_158_20170315.pdf","DETERMINA N. 158 DEL 15/03/2017")</f>
        <v>DETERMINA N. 158 DEL 15/03/2017</v>
      </c>
      <c r="E89" s="5" t="s">
        <v>221</v>
      </c>
      <c r="F89" s="8" t="s">
        <v>12</v>
      </c>
      <c r="G89" s="8" t="s">
        <v>222</v>
      </c>
      <c r="H89" s="9"/>
      <c r="I89" s="9"/>
      <c r="J89" s="9"/>
      <c r="K89" s="9"/>
      <c r="L89" s="9"/>
      <c r="M89" s="9"/>
      <c r="N89" s="9"/>
      <c r="O89" s="9"/>
      <c r="P89" s="9"/>
    </row>
    <row r="90" ht="30.0" customHeight="1">
      <c r="A90" s="4" t="s">
        <v>223</v>
      </c>
      <c r="B90" s="5" t="s">
        <v>224</v>
      </c>
      <c r="C90" s="11">
        <v>2540466.22</v>
      </c>
      <c r="D90" s="10" t="str">
        <f>HYPERLINK("http://www.usrc.it/AppRendiConta/det_159_20170315.pdf","DETERMINA N. 159 DEL 15/03/2017")</f>
        <v>DETERMINA N. 159 DEL 15/03/2017</v>
      </c>
      <c r="E90" s="5" t="s">
        <v>225</v>
      </c>
      <c r="F90" s="8" t="s">
        <v>12</v>
      </c>
      <c r="G90" s="8" t="s">
        <v>17</v>
      </c>
      <c r="H90" s="9"/>
      <c r="I90" s="9"/>
      <c r="J90" s="9"/>
      <c r="K90" s="9"/>
      <c r="L90" s="9"/>
      <c r="M90" s="9"/>
      <c r="N90" s="9"/>
      <c r="O90" s="9"/>
      <c r="P90" s="9"/>
    </row>
    <row r="91" ht="30.0" customHeight="1">
      <c r="A91" s="4" t="s">
        <v>128</v>
      </c>
      <c r="B91" s="5" t="s">
        <v>129</v>
      </c>
      <c r="C91" s="11">
        <v>440483.86</v>
      </c>
      <c r="D91" s="10" t="str">
        <f>HYPERLINK("http://www.usrc.it/AppRendiConta/det_163_20170315.pdf","DETERMINA N. 163 DEL 15/03/2017")</f>
        <v>DETERMINA N. 163 DEL 15/03/2017</v>
      </c>
      <c r="E91" s="5" t="s">
        <v>226</v>
      </c>
      <c r="F91" s="8" t="s">
        <v>12</v>
      </c>
      <c r="G91" s="8" t="s">
        <v>151</v>
      </c>
      <c r="H91" s="9"/>
      <c r="I91" s="9"/>
      <c r="J91" s="9"/>
      <c r="K91" s="9"/>
      <c r="L91" s="9"/>
      <c r="M91" s="9"/>
      <c r="N91" s="9"/>
      <c r="O91" s="9"/>
      <c r="P91" s="9"/>
    </row>
    <row r="92" ht="30.0" customHeight="1">
      <c r="A92" s="4" t="s">
        <v>21</v>
      </c>
      <c r="B92" s="5" t="s">
        <v>22</v>
      </c>
      <c r="C92" s="11">
        <v>3200.0</v>
      </c>
      <c r="D92" s="10" t="str">
        <f t="shared" ref="D92:D95" si="6">HYPERLINK("http://www.usrc.it/AppRendiConta/det_172_20170321.pdf","DETERMINA N. 172 DEL 21/03/2017")</f>
        <v>DETERMINA N. 172 DEL 21/03/2017</v>
      </c>
      <c r="E92" s="5" t="s">
        <v>227</v>
      </c>
      <c r="F92" s="8" t="s">
        <v>12</v>
      </c>
      <c r="G92" s="8" t="s">
        <v>228</v>
      </c>
      <c r="H92" s="9"/>
      <c r="I92" s="9"/>
      <c r="J92" s="9"/>
      <c r="K92" s="9"/>
      <c r="L92" s="9"/>
      <c r="M92" s="9"/>
      <c r="N92" s="9"/>
      <c r="O92" s="9"/>
      <c r="P92" s="9"/>
    </row>
    <row r="93" ht="30.0" customHeight="1">
      <c r="A93" s="4" t="s">
        <v>83</v>
      </c>
      <c r="B93" s="5" t="s">
        <v>84</v>
      </c>
      <c r="C93" s="11">
        <v>6175.0</v>
      </c>
      <c r="D93" s="10" t="str">
        <f t="shared" si="6"/>
        <v>DETERMINA N. 172 DEL 21/03/2017</v>
      </c>
      <c r="E93" s="5" t="s">
        <v>229</v>
      </c>
      <c r="F93" s="8" t="s">
        <v>12</v>
      </c>
      <c r="G93" s="8" t="s">
        <v>228</v>
      </c>
      <c r="H93" s="9"/>
      <c r="I93" s="9"/>
      <c r="J93" s="9"/>
      <c r="K93" s="9"/>
      <c r="L93" s="9"/>
      <c r="M93" s="9"/>
      <c r="N93" s="9"/>
      <c r="O93" s="9"/>
      <c r="P93" s="9"/>
    </row>
    <row r="94" ht="30.0" customHeight="1">
      <c r="A94" s="4" t="s">
        <v>117</v>
      </c>
      <c r="B94" s="5" t="s">
        <v>118</v>
      </c>
      <c r="C94" s="11">
        <v>800.0</v>
      </c>
      <c r="D94" s="10" t="str">
        <f t="shared" si="6"/>
        <v>DETERMINA N. 172 DEL 21/03/2017</v>
      </c>
      <c r="E94" s="5" t="s">
        <v>230</v>
      </c>
      <c r="F94" s="8" t="s">
        <v>12</v>
      </c>
      <c r="G94" s="8" t="s">
        <v>228</v>
      </c>
      <c r="H94" s="9"/>
      <c r="I94" s="9"/>
      <c r="J94" s="9"/>
      <c r="K94" s="9"/>
      <c r="L94" s="9"/>
      <c r="M94" s="9"/>
      <c r="N94" s="9"/>
      <c r="O94" s="9"/>
      <c r="P94" s="9"/>
    </row>
    <row r="95" ht="30.0" customHeight="1">
      <c r="A95" s="4" t="s">
        <v>231</v>
      </c>
      <c r="B95" s="5" t="s">
        <v>232</v>
      </c>
      <c r="C95" s="11">
        <v>2200.0</v>
      </c>
      <c r="D95" s="10" t="str">
        <f t="shared" si="6"/>
        <v>DETERMINA N. 172 DEL 21/03/2017</v>
      </c>
      <c r="E95" s="5" t="s">
        <v>233</v>
      </c>
      <c r="F95" s="8" t="s">
        <v>12</v>
      </c>
      <c r="G95" s="8" t="s">
        <v>228</v>
      </c>
      <c r="H95" s="9"/>
      <c r="I95" s="9"/>
      <c r="J95" s="9"/>
      <c r="K95" s="9"/>
      <c r="L95" s="9"/>
      <c r="M95" s="9"/>
      <c r="N95" s="9"/>
      <c r="O95" s="9"/>
      <c r="P95" s="9"/>
    </row>
    <row r="96" ht="30.0" customHeight="1">
      <c r="A96" s="4" t="s">
        <v>134</v>
      </c>
      <c r="B96" s="5" t="s">
        <v>135</v>
      </c>
      <c r="C96" s="11">
        <v>9400.0</v>
      </c>
      <c r="D96" s="10" t="str">
        <f>HYPERLINK("http://www.usrc.it/AppRendiConta/det_173_20170321.pdf","DETERMINA N. 173 DEL 21/03/2017")</f>
        <v>DETERMINA N. 173 DEL 21/03/2017</v>
      </c>
      <c r="E96" s="5" t="s">
        <v>234</v>
      </c>
      <c r="F96" s="8" t="s">
        <v>12</v>
      </c>
      <c r="G96" s="8" t="s">
        <v>228</v>
      </c>
      <c r="H96" s="9"/>
      <c r="I96" s="9"/>
      <c r="J96" s="9"/>
      <c r="K96" s="9"/>
      <c r="L96" s="9"/>
      <c r="M96" s="9"/>
      <c r="N96" s="9"/>
      <c r="O96" s="9"/>
      <c r="P96" s="9"/>
    </row>
    <row r="97" ht="30.0" customHeight="1">
      <c r="A97" s="4" t="s">
        <v>235</v>
      </c>
      <c r="B97" s="5" t="s">
        <v>236</v>
      </c>
      <c r="C97" s="11">
        <v>1282588.33</v>
      </c>
      <c r="D97" s="10" t="str">
        <f>HYPERLINK("http://www.usrc.it/AppRendiConta/det_174_20170321.pdf","DETERMINA N. 174 DEL 21/03/2017")</f>
        <v>DETERMINA N. 174 DEL 21/03/2017</v>
      </c>
      <c r="E97" s="5" t="s">
        <v>237</v>
      </c>
      <c r="F97" s="8" t="s">
        <v>12</v>
      </c>
      <c r="G97" s="8" t="s">
        <v>151</v>
      </c>
      <c r="H97" s="9"/>
      <c r="I97" s="9"/>
      <c r="J97" s="9"/>
      <c r="K97" s="9"/>
      <c r="L97" s="9"/>
      <c r="M97" s="9"/>
      <c r="N97" s="9"/>
      <c r="O97" s="9"/>
      <c r="P97" s="9"/>
    </row>
    <row r="98" ht="30.0" customHeight="1">
      <c r="A98" s="4" t="s">
        <v>69</v>
      </c>
      <c r="B98" s="5" t="s">
        <v>70</v>
      </c>
      <c r="C98" s="11">
        <v>764.77</v>
      </c>
      <c r="D98" s="10" t="str">
        <f>HYPERLINK("http://www.usrc.it/AppRendiConta/det_175_20170321.pdf","DETERMINA N. 175 DEL 21/03/2017")</f>
        <v>DETERMINA N. 175 DEL 21/03/2017</v>
      </c>
      <c r="E98" s="5" t="s">
        <v>238</v>
      </c>
      <c r="F98" s="8" t="s">
        <v>12</v>
      </c>
      <c r="G98" s="8" t="s">
        <v>24</v>
      </c>
      <c r="H98" s="9"/>
      <c r="I98" s="9"/>
      <c r="J98" s="9"/>
      <c r="K98" s="9"/>
      <c r="L98" s="9"/>
      <c r="M98" s="9"/>
      <c r="N98" s="9"/>
      <c r="O98" s="9"/>
      <c r="P98" s="9"/>
    </row>
    <row r="99" ht="30.0" customHeight="1">
      <c r="A99" s="4" t="s">
        <v>18</v>
      </c>
      <c r="B99" s="8" t="s">
        <v>19</v>
      </c>
      <c r="C99" s="11">
        <v>35678.37</v>
      </c>
      <c r="D99" s="10" t="str">
        <f>HYPERLINK("http://www.usrc.it/AppRendiConta/det_176_20170321.pdf","DETERMINA N. 176 DEL 21/03/2017")</f>
        <v>DETERMINA N. 176 DEL 21/03/2017</v>
      </c>
      <c r="E99" s="5" t="s">
        <v>239</v>
      </c>
      <c r="F99" s="8" t="s">
        <v>12</v>
      </c>
      <c r="G99" s="8" t="s">
        <v>28</v>
      </c>
      <c r="H99" s="9"/>
      <c r="I99" s="9"/>
      <c r="J99" s="9"/>
      <c r="K99" s="9"/>
      <c r="L99" s="9"/>
      <c r="M99" s="9"/>
      <c r="N99" s="9"/>
      <c r="O99" s="9"/>
      <c r="P99" s="9"/>
    </row>
    <row r="100" ht="30.0" customHeight="1">
      <c r="A100" s="4" t="s">
        <v>18</v>
      </c>
      <c r="B100" s="5" t="s">
        <v>19</v>
      </c>
      <c r="C100" s="11">
        <v>77332.23</v>
      </c>
      <c r="D100" s="10" t="str">
        <f>HYPERLINK("http://www.usrc.it/AppRendiConta/det_177_20170321.pdf","DETERMINA N. 177 DEL 21/03/2017")</f>
        <v>DETERMINA N. 177 DEL 21/03/2017</v>
      </c>
      <c r="E100" s="5" t="s">
        <v>240</v>
      </c>
      <c r="F100" s="8" t="s">
        <v>12</v>
      </c>
      <c r="G100" s="8" t="s">
        <v>28</v>
      </c>
      <c r="H100" s="9"/>
      <c r="I100" s="9"/>
      <c r="J100" s="9"/>
      <c r="K100" s="9"/>
      <c r="L100" s="9"/>
      <c r="M100" s="9"/>
      <c r="N100" s="9"/>
      <c r="O100" s="9"/>
      <c r="P100" s="9"/>
    </row>
    <row r="101" ht="30.0" customHeight="1">
      <c r="A101" s="4" t="s">
        <v>241</v>
      </c>
      <c r="B101" s="5" t="s">
        <v>242</v>
      </c>
      <c r="C101" s="11">
        <v>101607.0</v>
      </c>
      <c r="D101" s="7" t="str">
        <f>HYPERLINK("http://www.usrc.it/AppRendiConta/det_178_20170321.pdf","DETERMINA N. 178 DEL 21/03/2017")</f>
        <v>DETERMINA N. 178 DEL 21/03/2017</v>
      </c>
      <c r="E101" s="5" t="s">
        <v>243</v>
      </c>
      <c r="F101" s="8" t="s">
        <v>12</v>
      </c>
      <c r="G101" s="8" t="s">
        <v>206</v>
      </c>
      <c r="H101" s="9"/>
      <c r="I101" s="9"/>
      <c r="J101" s="9"/>
      <c r="K101" s="9"/>
      <c r="L101" s="9"/>
      <c r="M101" s="9"/>
      <c r="N101" s="9"/>
      <c r="O101" s="9"/>
      <c r="P101" s="9"/>
    </row>
    <row r="102" ht="30.0" customHeight="1">
      <c r="A102" s="4" t="s">
        <v>25</v>
      </c>
      <c r="B102" s="5" t="s">
        <v>26</v>
      </c>
      <c r="C102" s="11">
        <v>5183293.96</v>
      </c>
      <c r="D102" s="10" t="str">
        <f>HYPERLINK("http://www.usrc.it/AppRendiConta/det_180_20170322.pdf","DETERMINA N. 180 DEL 22/03/2017")</f>
        <v>DETERMINA N. 180 DEL 22/03/2017</v>
      </c>
      <c r="E102" s="5" t="s">
        <v>244</v>
      </c>
      <c r="F102" s="8" t="s">
        <v>12</v>
      </c>
      <c r="G102" s="8" t="s">
        <v>222</v>
      </c>
      <c r="H102" s="9"/>
      <c r="I102" s="9"/>
      <c r="J102" s="9"/>
      <c r="K102" s="9"/>
      <c r="L102" s="9"/>
      <c r="M102" s="9"/>
      <c r="N102" s="9"/>
      <c r="O102" s="9"/>
      <c r="P102" s="9"/>
    </row>
    <row r="103" ht="30.0" customHeight="1">
      <c r="A103" s="4" t="s">
        <v>245</v>
      </c>
      <c r="B103" s="5" t="s">
        <v>246</v>
      </c>
      <c r="C103" s="11">
        <v>3982582.43</v>
      </c>
      <c r="D103" s="10" t="str">
        <f>HYPERLINK("http://www.usrc.it/AppRendiConta/det_183_20170323.pdf","DETERMINA N. 183 DEL 23/03/2017")</f>
        <v>DETERMINA N. 183 DEL 23/03/2017</v>
      </c>
      <c r="E103" s="5" t="s">
        <v>247</v>
      </c>
      <c r="F103" s="8" t="s">
        <v>12</v>
      </c>
      <c r="G103" s="8" t="s">
        <v>222</v>
      </c>
      <c r="H103" s="9"/>
      <c r="I103" s="9"/>
      <c r="J103" s="9"/>
      <c r="K103" s="9"/>
      <c r="L103" s="9"/>
      <c r="M103" s="9"/>
      <c r="N103" s="9"/>
      <c r="O103" s="9"/>
      <c r="P103" s="9"/>
    </row>
    <row r="104" ht="30.0" customHeight="1">
      <c r="A104" s="4" t="s">
        <v>248</v>
      </c>
      <c r="B104" s="5" t="s">
        <v>249</v>
      </c>
      <c r="C104" s="11">
        <v>92640.4</v>
      </c>
      <c r="D104" s="10" t="str">
        <f>HYPERLINK("http://www.usrc.it/AppRendiConta/det_184_20170323.pdf","DETERMINA N. 184 DEL 23/03/2017")</f>
        <v>DETERMINA N. 184 DEL 23/03/2017</v>
      </c>
      <c r="E104" s="5" t="s">
        <v>250</v>
      </c>
      <c r="F104" s="8" t="s">
        <v>12</v>
      </c>
      <c r="G104" s="8" t="s">
        <v>24</v>
      </c>
      <c r="H104" s="9"/>
      <c r="I104" s="9"/>
      <c r="J104" s="9"/>
      <c r="K104" s="9"/>
      <c r="L104" s="9"/>
      <c r="M104" s="9"/>
      <c r="N104" s="9"/>
      <c r="O104" s="9"/>
      <c r="P104" s="9"/>
    </row>
    <row r="105" ht="30.0" customHeight="1">
      <c r="A105" s="4" t="s">
        <v>251</v>
      </c>
      <c r="B105" s="5" t="s">
        <v>252</v>
      </c>
      <c r="C105" s="11">
        <v>817.25</v>
      </c>
      <c r="D105" s="10" t="str">
        <f>HYPERLINK("http://www.usrc.it/AppRendiConta/det_185_20170323.pdf","DETERMINA N. 185 DEL 23/03/2017")</f>
        <v>DETERMINA N. 185 DEL 23/03/2017</v>
      </c>
      <c r="E105" s="5" t="s">
        <v>253</v>
      </c>
      <c r="F105" s="8" t="s">
        <v>12</v>
      </c>
      <c r="G105" s="8" t="s">
        <v>24</v>
      </c>
      <c r="H105" s="9"/>
      <c r="I105" s="9"/>
      <c r="J105" s="9"/>
      <c r="K105" s="9"/>
      <c r="L105" s="9"/>
      <c r="M105" s="9"/>
      <c r="N105" s="9"/>
      <c r="O105" s="9"/>
      <c r="P105" s="9"/>
    </row>
    <row r="106" ht="30.0" customHeight="1">
      <c r="A106" s="4" t="s">
        <v>175</v>
      </c>
      <c r="B106" s="5" t="s">
        <v>176</v>
      </c>
      <c r="C106" s="11">
        <v>2114898.21</v>
      </c>
      <c r="D106" s="7" t="str">
        <f>HYPERLINK("http://www.usrc.it/AppRendiConta/det_192_20170324.pdf","DETERMINA N. 192 DEL 24/03/2017")</f>
        <v>DETERMINA N. 192 DEL 24/03/2017</v>
      </c>
      <c r="E106" s="8" t="s">
        <v>254</v>
      </c>
      <c r="F106" s="5" t="s">
        <v>12</v>
      </c>
      <c r="G106" s="5" t="s">
        <v>17</v>
      </c>
      <c r="H106" s="9"/>
      <c r="I106" s="9"/>
      <c r="J106" s="9"/>
      <c r="K106" s="9"/>
      <c r="L106" s="9"/>
      <c r="M106" s="9"/>
      <c r="N106" s="9"/>
      <c r="O106" s="9"/>
      <c r="P106" s="9"/>
    </row>
    <row r="107" ht="30.0" customHeight="1">
      <c r="A107" s="4" t="s">
        <v>29</v>
      </c>
      <c r="B107" s="5" t="s">
        <v>30</v>
      </c>
      <c r="C107" s="11">
        <v>142454.03</v>
      </c>
      <c r="D107" s="10" t="str">
        <f>HYPERLINK("http://www.usrc.it/AppRendiConta/det_196_20170328.pdf","DETERMINA N. 196 DEL 28/03/2017")</f>
        <v>DETERMINA N. 196 DEL 28/03/2017</v>
      </c>
      <c r="E107" s="5" t="s">
        <v>255</v>
      </c>
      <c r="F107" s="8" t="s">
        <v>12</v>
      </c>
      <c r="G107" s="8" t="s">
        <v>24</v>
      </c>
      <c r="H107" s="9"/>
      <c r="I107" s="9"/>
      <c r="J107" s="9"/>
      <c r="K107" s="9"/>
      <c r="L107" s="9"/>
      <c r="M107" s="9"/>
      <c r="N107" s="9"/>
      <c r="O107" s="9"/>
      <c r="P107" s="9"/>
    </row>
    <row r="108" ht="30.0" customHeight="1">
      <c r="A108" s="4" t="s">
        <v>256</v>
      </c>
      <c r="B108" s="8" t="s">
        <v>257</v>
      </c>
      <c r="C108" s="11">
        <v>16981.75</v>
      </c>
      <c r="D108" s="10" t="str">
        <f>HYPERLINK("http://www.usrc.it/AppRendiConta/det_198_20170329.pdf","DETERMINA N. 198 DEL 29/03/2017")</f>
        <v>DETERMINA N. 198 DEL 29/03/2017</v>
      </c>
      <c r="E108" s="5" t="s">
        <v>258</v>
      </c>
      <c r="F108" s="8" t="s">
        <v>12</v>
      </c>
      <c r="G108" s="8" t="s">
        <v>24</v>
      </c>
      <c r="H108" s="9"/>
      <c r="I108" s="9"/>
      <c r="J108" s="9"/>
      <c r="K108" s="9"/>
      <c r="L108" s="9"/>
      <c r="M108" s="9"/>
      <c r="N108" s="9"/>
      <c r="O108" s="9"/>
      <c r="P108" s="9"/>
    </row>
    <row r="109" ht="30.0" customHeight="1">
      <c r="A109" s="4" t="s">
        <v>256</v>
      </c>
      <c r="B109" s="5" t="s">
        <v>257</v>
      </c>
      <c r="C109" s="11">
        <v>24756.97</v>
      </c>
      <c r="D109" s="10" t="str">
        <f>HYPERLINK("http://www.usrc.it/AppRendiConta/det_199_20170329.pdf","DETERMINA N. 199 DEL 29/03/2017")</f>
        <v>DETERMINA N. 199 DEL 29/03/2017</v>
      </c>
      <c r="E109" s="5" t="s">
        <v>259</v>
      </c>
      <c r="F109" s="8" t="s">
        <v>12</v>
      </c>
      <c r="G109" s="8" t="s">
        <v>24</v>
      </c>
      <c r="H109" s="9"/>
      <c r="I109" s="9"/>
      <c r="J109" s="9"/>
      <c r="K109" s="9"/>
      <c r="L109" s="9"/>
      <c r="M109" s="9"/>
      <c r="N109" s="9"/>
      <c r="O109" s="9"/>
      <c r="P109" s="9"/>
    </row>
    <row r="110" ht="30.0" customHeight="1">
      <c r="A110" s="4" t="s">
        <v>179</v>
      </c>
      <c r="B110" s="5" t="s">
        <v>180</v>
      </c>
      <c r="C110" s="11">
        <v>17620.02</v>
      </c>
      <c r="D110" s="10" t="str">
        <f>HYPERLINK("http://www.usrc.it/AppRendiConta/det_200_20170329.pdf","DETERMINA N. 200 DEL 29/03/2017")</f>
        <v>DETERMINA N. 200 DEL 29/03/2017</v>
      </c>
      <c r="E110" s="8" t="s">
        <v>260</v>
      </c>
      <c r="F110" s="5" t="s">
        <v>12</v>
      </c>
      <c r="G110" s="5" t="s">
        <v>206</v>
      </c>
      <c r="H110" s="9"/>
      <c r="I110" s="9"/>
      <c r="J110" s="9"/>
      <c r="K110" s="9"/>
      <c r="L110" s="9"/>
      <c r="M110" s="9"/>
      <c r="N110" s="9"/>
      <c r="O110" s="9"/>
      <c r="P110" s="9"/>
    </row>
    <row r="111" ht="30.0" customHeight="1">
      <c r="A111" s="4" t="s">
        <v>245</v>
      </c>
      <c r="B111" s="5" t="s">
        <v>246</v>
      </c>
      <c r="C111" s="11">
        <v>38804.71</v>
      </c>
      <c r="D111" s="10" t="str">
        <f>HYPERLINK("http://www.usrc.it/AppRendiConta/det_201_20170329.pdf","DETERMINA N. 201 DEL 29/03/2017")</f>
        <v>DETERMINA N. 201 DEL 29/03/2017</v>
      </c>
      <c r="E111" s="8" t="s">
        <v>261</v>
      </c>
      <c r="F111" s="5" t="s">
        <v>12</v>
      </c>
      <c r="G111" s="5" t="s">
        <v>206</v>
      </c>
      <c r="H111" s="9"/>
      <c r="I111" s="9"/>
      <c r="J111" s="9"/>
      <c r="K111" s="9"/>
      <c r="L111" s="9"/>
      <c r="M111" s="9"/>
      <c r="N111" s="9"/>
      <c r="O111" s="9"/>
      <c r="P111" s="9"/>
    </row>
    <row r="112" ht="30.0" customHeight="1">
      <c r="A112" s="4" t="s">
        <v>251</v>
      </c>
      <c r="B112" s="5" t="s">
        <v>252</v>
      </c>
      <c r="C112" s="11">
        <v>30409.48</v>
      </c>
      <c r="D112" s="10" t="str">
        <f>HYPERLINK("http://www.usrc.it/AppRendiConta/det_203_20170329.pdf","DETERMINA N. 203 DEL 29/03/2017")</f>
        <v>DETERMINA N. 203 DEL 29/03/2017</v>
      </c>
      <c r="E112" s="5" t="s">
        <v>262</v>
      </c>
      <c r="F112" s="8" t="s">
        <v>12</v>
      </c>
      <c r="G112" s="8" t="s">
        <v>24</v>
      </c>
      <c r="H112" s="9"/>
      <c r="I112" s="9"/>
      <c r="J112" s="9"/>
      <c r="K112" s="9"/>
      <c r="L112" s="9"/>
      <c r="M112" s="9"/>
      <c r="N112" s="9"/>
      <c r="O112" s="9"/>
      <c r="P112" s="9"/>
    </row>
    <row r="113" ht="30.0" customHeight="1">
      <c r="A113" s="4" t="s">
        <v>185</v>
      </c>
      <c r="B113" s="5" t="s">
        <v>186</v>
      </c>
      <c r="C113" s="11">
        <v>38720.0</v>
      </c>
      <c r="D113" s="10" t="str">
        <f>HYPERLINK("http://www.usrc.it/AppRendiConta/det_204_20170329.pdf","DETERMINA N. 204 DEL 29/03/2017")</f>
        <v>DETERMINA N. 204 DEL 29/03/2017</v>
      </c>
      <c r="E113" s="5" t="s">
        <v>263</v>
      </c>
      <c r="F113" s="8" t="s">
        <v>12</v>
      </c>
      <c r="G113" s="8" t="s">
        <v>24</v>
      </c>
      <c r="H113" s="9"/>
      <c r="I113" s="9"/>
      <c r="J113" s="9"/>
      <c r="K113" s="9"/>
      <c r="L113" s="9"/>
      <c r="M113" s="9"/>
      <c r="N113" s="9"/>
      <c r="O113" s="9"/>
      <c r="P113" s="9"/>
    </row>
    <row r="114" ht="30.0" customHeight="1">
      <c r="A114" s="4" t="s">
        <v>103</v>
      </c>
      <c r="B114" s="5" t="s">
        <v>104</v>
      </c>
      <c r="C114" s="11">
        <v>10200.0</v>
      </c>
      <c r="D114" s="10" t="str">
        <f t="shared" ref="D114:D126" si="7">HYPERLINK("http://www.usrc.it/AppRendiConta/det_209_20170330.pdf","DETERMINA N. 209 DEL 30/03/2017")</f>
        <v>DETERMINA N. 209 DEL 30/03/2017</v>
      </c>
      <c r="E114" s="8" t="s">
        <v>123</v>
      </c>
      <c r="F114" s="8" t="s">
        <v>12</v>
      </c>
      <c r="G114" s="8" t="s">
        <v>28</v>
      </c>
      <c r="H114" s="9"/>
      <c r="I114" s="9"/>
      <c r="J114" s="9"/>
      <c r="K114" s="9"/>
      <c r="L114" s="9"/>
      <c r="M114" s="9"/>
      <c r="N114" s="9"/>
      <c r="O114" s="9"/>
      <c r="P114" s="9"/>
    </row>
    <row r="115" ht="30.0" customHeight="1">
      <c r="A115" s="4" t="s">
        <v>264</v>
      </c>
      <c r="B115" s="5" t="s">
        <v>19</v>
      </c>
      <c r="C115" s="11">
        <v>52887.1</v>
      </c>
      <c r="D115" s="10" t="str">
        <f t="shared" si="7"/>
        <v>DETERMINA N. 209 DEL 30/03/2017</v>
      </c>
      <c r="E115" s="8" t="s">
        <v>265</v>
      </c>
      <c r="F115" s="5" t="s">
        <v>12</v>
      </c>
      <c r="G115" s="5" t="s">
        <v>28</v>
      </c>
      <c r="H115" s="9"/>
      <c r="I115" s="9"/>
      <c r="J115" s="9"/>
      <c r="K115" s="9"/>
      <c r="L115" s="9"/>
      <c r="M115" s="9"/>
      <c r="N115" s="9"/>
      <c r="O115" s="9"/>
      <c r="P115" s="9"/>
    </row>
    <row r="116" ht="30.0" customHeight="1">
      <c r="A116" s="4" t="s">
        <v>108</v>
      </c>
      <c r="B116" s="5" t="s">
        <v>109</v>
      </c>
      <c r="C116" s="11">
        <v>24200.0</v>
      </c>
      <c r="D116" s="10" t="str">
        <f t="shared" si="7"/>
        <v>DETERMINA N. 209 DEL 30/03/2017</v>
      </c>
      <c r="E116" s="8" t="s">
        <v>266</v>
      </c>
      <c r="F116" s="5" t="s">
        <v>12</v>
      </c>
      <c r="G116" s="5" t="s">
        <v>28</v>
      </c>
      <c r="H116" s="9"/>
      <c r="I116" s="9"/>
      <c r="J116" s="9"/>
      <c r="K116" s="9"/>
      <c r="L116" s="9"/>
      <c r="M116" s="9"/>
      <c r="N116" s="9"/>
      <c r="O116" s="9"/>
      <c r="P116" s="9"/>
    </row>
    <row r="117" ht="30.0" customHeight="1">
      <c r="A117" s="4" t="s">
        <v>83</v>
      </c>
      <c r="B117" s="5" t="s">
        <v>84</v>
      </c>
      <c r="C117" s="11">
        <v>6800.0</v>
      </c>
      <c r="D117" s="10" t="str">
        <f t="shared" si="7"/>
        <v>DETERMINA N. 209 DEL 30/03/2017</v>
      </c>
      <c r="E117" s="8" t="s">
        <v>267</v>
      </c>
      <c r="F117" s="8" t="s">
        <v>12</v>
      </c>
      <c r="G117" s="8" t="s">
        <v>28</v>
      </c>
      <c r="H117" s="9"/>
      <c r="I117" s="9"/>
      <c r="J117" s="9"/>
      <c r="K117" s="9"/>
      <c r="L117" s="9"/>
      <c r="M117" s="9"/>
      <c r="N117" s="9"/>
      <c r="O117" s="9"/>
      <c r="P117" s="9"/>
    </row>
    <row r="118" ht="30.0" customHeight="1">
      <c r="A118" s="4" t="s">
        <v>52</v>
      </c>
      <c r="B118" s="5" t="s">
        <v>53</v>
      </c>
      <c r="C118" s="11">
        <v>18000.0</v>
      </c>
      <c r="D118" s="10" t="str">
        <f t="shared" si="7"/>
        <v>DETERMINA N. 209 DEL 30/03/2017</v>
      </c>
      <c r="E118" s="8" t="s">
        <v>268</v>
      </c>
      <c r="F118" s="8" t="s">
        <v>12</v>
      </c>
      <c r="G118" s="8" t="s">
        <v>28</v>
      </c>
      <c r="H118" s="9"/>
      <c r="I118" s="9"/>
      <c r="J118" s="9"/>
      <c r="K118" s="9"/>
      <c r="L118" s="9"/>
      <c r="M118" s="9"/>
      <c r="N118" s="9"/>
      <c r="O118" s="9"/>
      <c r="P118" s="9"/>
    </row>
    <row r="119" ht="30.0" customHeight="1">
      <c r="A119" s="4" t="s">
        <v>248</v>
      </c>
      <c r="B119" s="5" t="s">
        <v>249</v>
      </c>
      <c r="C119" s="11">
        <v>8400.0</v>
      </c>
      <c r="D119" s="10" t="str">
        <f t="shared" si="7"/>
        <v>DETERMINA N. 209 DEL 30/03/2017</v>
      </c>
      <c r="E119" s="8" t="s">
        <v>268</v>
      </c>
      <c r="F119" s="8" t="s">
        <v>12</v>
      </c>
      <c r="G119" s="8" t="s">
        <v>28</v>
      </c>
      <c r="H119" s="9"/>
      <c r="I119" s="9"/>
      <c r="J119" s="9"/>
      <c r="K119" s="9"/>
      <c r="L119" s="9"/>
      <c r="M119" s="9"/>
      <c r="N119" s="9"/>
      <c r="O119" s="9"/>
      <c r="P119" s="9"/>
    </row>
    <row r="120" ht="30.0" customHeight="1">
      <c r="A120" s="4" t="s">
        <v>117</v>
      </c>
      <c r="B120" s="5" t="s">
        <v>118</v>
      </c>
      <c r="C120" s="11">
        <v>39600.0</v>
      </c>
      <c r="D120" s="10" t="str">
        <f t="shared" si="7"/>
        <v>DETERMINA N. 209 DEL 30/03/2017</v>
      </c>
      <c r="E120" s="5" t="s">
        <v>269</v>
      </c>
      <c r="F120" s="8" t="s">
        <v>12</v>
      </c>
      <c r="G120" s="8" t="s">
        <v>28</v>
      </c>
      <c r="H120" s="9"/>
      <c r="I120" s="9"/>
      <c r="J120" s="9"/>
      <c r="K120" s="9"/>
      <c r="L120" s="9"/>
      <c r="M120" s="9"/>
      <c r="N120" s="9"/>
      <c r="O120" s="9"/>
      <c r="P120" s="9"/>
    </row>
    <row r="121" ht="30.0" customHeight="1">
      <c r="A121" s="4" t="s">
        <v>175</v>
      </c>
      <c r="B121" s="5" t="s">
        <v>176</v>
      </c>
      <c r="C121" s="11">
        <v>37100.0</v>
      </c>
      <c r="D121" s="10" t="str">
        <f t="shared" si="7"/>
        <v>DETERMINA N. 209 DEL 30/03/2017</v>
      </c>
      <c r="E121" s="8" t="s">
        <v>270</v>
      </c>
      <c r="F121" s="5" t="s">
        <v>12</v>
      </c>
      <c r="G121" s="5" t="s">
        <v>28</v>
      </c>
      <c r="H121" s="9"/>
      <c r="I121" s="9"/>
      <c r="J121" s="9"/>
      <c r="K121" s="9"/>
      <c r="L121" s="9"/>
      <c r="M121" s="9"/>
      <c r="N121" s="9"/>
      <c r="O121" s="9"/>
      <c r="P121" s="9"/>
    </row>
    <row r="122" ht="30.0" customHeight="1">
      <c r="A122" s="4" t="s">
        <v>120</v>
      </c>
      <c r="B122" s="5" t="s">
        <v>121</v>
      </c>
      <c r="C122" s="11">
        <v>54900.0</v>
      </c>
      <c r="D122" s="10" t="str">
        <f t="shared" si="7"/>
        <v>DETERMINA N. 209 DEL 30/03/2017</v>
      </c>
      <c r="E122" s="8" t="s">
        <v>271</v>
      </c>
      <c r="F122" s="5" t="s">
        <v>12</v>
      </c>
      <c r="G122" s="5" t="s">
        <v>28</v>
      </c>
      <c r="H122" s="9"/>
      <c r="I122" s="9"/>
      <c r="J122" s="9"/>
      <c r="K122" s="9"/>
      <c r="L122" s="9"/>
      <c r="M122" s="9"/>
      <c r="N122" s="9"/>
      <c r="O122" s="9"/>
      <c r="P122" s="9"/>
    </row>
    <row r="123" ht="30.0" customHeight="1">
      <c r="A123" s="4" t="s">
        <v>36</v>
      </c>
      <c r="B123" s="5" t="s">
        <v>37</v>
      </c>
      <c r="C123" s="11">
        <v>74574.19</v>
      </c>
      <c r="D123" s="10" t="str">
        <f t="shared" si="7"/>
        <v>DETERMINA N. 209 DEL 30/03/2017</v>
      </c>
      <c r="E123" s="8" t="s">
        <v>272</v>
      </c>
      <c r="F123" s="5" t="s">
        <v>12</v>
      </c>
      <c r="G123" s="5" t="s">
        <v>28</v>
      </c>
      <c r="H123" s="9"/>
      <c r="I123" s="9"/>
      <c r="J123" s="9"/>
      <c r="K123" s="9"/>
      <c r="L123" s="9"/>
      <c r="M123" s="9"/>
      <c r="N123" s="9"/>
      <c r="O123" s="9"/>
      <c r="P123" s="9"/>
    </row>
    <row r="124" ht="30.0" customHeight="1">
      <c r="A124" s="4" t="s">
        <v>95</v>
      </c>
      <c r="B124" s="5" t="s">
        <v>96</v>
      </c>
      <c r="C124" s="11">
        <v>14100.0</v>
      </c>
      <c r="D124" s="10" t="str">
        <f t="shared" si="7"/>
        <v>DETERMINA N. 209 DEL 30/03/2017</v>
      </c>
      <c r="E124" s="8" t="s">
        <v>273</v>
      </c>
      <c r="F124" s="5" t="s">
        <v>12</v>
      </c>
      <c r="G124" s="5" t="s">
        <v>28</v>
      </c>
      <c r="H124" s="9"/>
      <c r="I124" s="9"/>
      <c r="J124" s="9"/>
      <c r="K124" s="9"/>
      <c r="L124" s="9"/>
      <c r="M124" s="9"/>
      <c r="N124" s="9"/>
      <c r="O124" s="9"/>
      <c r="P124" s="9"/>
    </row>
    <row r="125" ht="30.0" customHeight="1">
      <c r="A125" s="4" t="s">
        <v>274</v>
      </c>
      <c r="B125" s="5" t="s">
        <v>33</v>
      </c>
      <c r="C125" s="11">
        <v>1400.0</v>
      </c>
      <c r="D125" s="10" t="str">
        <f t="shared" si="7"/>
        <v>DETERMINA N. 209 DEL 30/03/2017</v>
      </c>
      <c r="E125" s="8" t="s">
        <v>275</v>
      </c>
      <c r="F125" s="5" t="s">
        <v>12</v>
      </c>
      <c r="G125" s="5" t="s">
        <v>28</v>
      </c>
      <c r="H125" s="9"/>
      <c r="I125" s="9"/>
      <c r="J125" s="9"/>
      <c r="K125" s="9"/>
      <c r="L125" s="9"/>
      <c r="M125" s="9"/>
      <c r="N125" s="9"/>
      <c r="O125" s="9"/>
      <c r="P125" s="9"/>
    </row>
    <row r="126" ht="30.0" customHeight="1">
      <c r="A126" s="4" t="s">
        <v>276</v>
      </c>
      <c r="B126" s="5" t="s">
        <v>277</v>
      </c>
      <c r="C126" s="11">
        <v>12600.0</v>
      </c>
      <c r="D126" s="10" t="str">
        <f t="shared" si="7"/>
        <v>DETERMINA N. 209 DEL 30/03/2017</v>
      </c>
      <c r="E126" s="8" t="s">
        <v>123</v>
      </c>
      <c r="F126" s="5" t="s">
        <v>12</v>
      </c>
      <c r="G126" s="5" t="s">
        <v>28</v>
      </c>
      <c r="H126" s="9"/>
      <c r="I126" s="9"/>
      <c r="J126" s="9"/>
      <c r="K126" s="9"/>
      <c r="L126" s="9"/>
      <c r="M126" s="9"/>
      <c r="N126" s="9"/>
      <c r="O126" s="9"/>
      <c r="P126" s="9"/>
    </row>
    <row r="127" ht="30.0" customHeight="1">
      <c r="A127" s="4" t="s">
        <v>278</v>
      </c>
      <c r="B127" s="5" t="s">
        <v>279</v>
      </c>
      <c r="C127" s="11">
        <v>6000.0</v>
      </c>
      <c r="D127" s="10" t="str">
        <f t="shared" ref="D127:D133" si="8">HYPERLINK("http://www.usrc.it/AppRendiConta/det_210_20170330.pdf","DETERMINA N. 210 DEL 30/03/2017")</f>
        <v>DETERMINA N. 210 DEL 30/03/2017</v>
      </c>
      <c r="E127" s="8" t="s">
        <v>280</v>
      </c>
      <c r="F127" s="5" t="s">
        <v>12</v>
      </c>
      <c r="G127" s="5" t="s">
        <v>28</v>
      </c>
      <c r="H127" s="9"/>
      <c r="I127" s="9"/>
      <c r="J127" s="9"/>
      <c r="K127" s="9"/>
      <c r="L127" s="9"/>
      <c r="M127" s="9"/>
      <c r="N127" s="9"/>
      <c r="O127" s="9"/>
      <c r="P127" s="9"/>
    </row>
    <row r="128" ht="30.0" customHeight="1">
      <c r="A128" s="4" t="s">
        <v>281</v>
      </c>
      <c r="B128" s="5" t="s">
        <v>282</v>
      </c>
      <c r="C128" s="11">
        <v>10800.0</v>
      </c>
      <c r="D128" s="10" t="str">
        <f t="shared" si="8"/>
        <v>DETERMINA N. 210 DEL 30/03/2017</v>
      </c>
      <c r="E128" s="8" t="s">
        <v>283</v>
      </c>
      <c r="F128" s="5" t="s">
        <v>12</v>
      </c>
      <c r="G128" s="5" t="s">
        <v>28</v>
      </c>
      <c r="H128" s="9"/>
      <c r="I128" s="9"/>
      <c r="J128" s="9"/>
      <c r="K128" s="9"/>
      <c r="L128" s="9"/>
      <c r="M128" s="9"/>
      <c r="N128" s="9"/>
      <c r="O128" s="9"/>
      <c r="P128" s="9"/>
    </row>
    <row r="129" ht="30.0" customHeight="1">
      <c r="A129" s="4" t="s">
        <v>284</v>
      </c>
      <c r="B129" s="5" t="s">
        <v>285</v>
      </c>
      <c r="C129" s="11">
        <v>3733.33</v>
      </c>
      <c r="D129" s="10" t="str">
        <f t="shared" si="8"/>
        <v>DETERMINA N. 210 DEL 30/03/2017</v>
      </c>
      <c r="E129" s="5" t="s">
        <v>286</v>
      </c>
      <c r="F129" s="5" t="s">
        <v>12</v>
      </c>
      <c r="G129" s="5" t="s">
        <v>28</v>
      </c>
      <c r="H129" s="9"/>
      <c r="I129" s="9"/>
      <c r="J129" s="9"/>
      <c r="K129" s="9"/>
      <c r="L129" s="9"/>
      <c r="M129" s="9"/>
      <c r="N129" s="9"/>
      <c r="O129" s="9"/>
      <c r="P129" s="9"/>
    </row>
    <row r="130" ht="30.0" customHeight="1">
      <c r="A130" s="4" t="s">
        <v>287</v>
      </c>
      <c r="B130" s="5" t="s">
        <v>288</v>
      </c>
      <c r="C130" s="11">
        <v>6400.0</v>
      </c>
      <c r="D130" s="10" t="str">
        <f t="shared" si="8"/>
        <v>DETERMINA N. 210 DEL 30/03/2017</v>
      </c>
      <c r="E130" s="5" t="s">
        <v>289</v>
      </c>
      <c r="F130" s="5" t="s">
        <v>12</v>
      </c>
      <c r="G130" s="5" t="s">
        <v>28</v>
      </c>
      <c r="H130" s="9"/>
      <c r="I130" s="9"/>
      <c r="J130" s="9"/>
      <c r="K130" s="9"/>
      <c r="L130" s="9"/>
      <c r="M130" s="9"/>
      <c r="N130" s="9"/>
      <c r="O130" s="9"/>
      <c r="P130" s="9"/>
    </row>
    <row r="131" ht="30.0" customHeight="1">
      <c r="A131" s="4" t="s">
        <v>290</v>
      </c>
      <c r="B131" s="5" t="s">
        <v>165</v>
      </c>
      <c r="C131" s="11">
        <v>4400.0</v>
      </c>
      <c r="D131" s="10" t="str">
        <f t="shared" si="8"/>
        <v>DETERMINA N. 210 DEL 30/03/2017</v>
      </c>
      <c r="E131" s="8" t="s">
        <v>291</v>
      </c>
      <c r="F131" s="5" t="s">
        <v>12</v>
      </c>
      <c r="G131" s="8" t="s">
        <v>28</v>
      </c>
      <c r="H131" s="9"/>
      <c r="I131" s="9"/>
      <c r="J131" s="9"/>
      <c r="K131" s="9"/>
      <c r="L131" s="9"/>
      <c r="M131" s="9"/>
      <c r="N131" s="9"/>
      <c r="O131" s="9"/>
      <c r="P131" s="9"/>
    </row>
    <row r="132" ht="30.0" customHeight="1">
      <c r="A132" s="4" t="s">
        <v>55</v>
      </c>
      <c r="B132" s="5" t="s">
        <v>56</v>
      </c>
      <c r="C132" s="11">
        <v>55695.91</v>
      </c>
      <c r="D132" s="10" t="str">
        <f t="shared" si="8"/>
        <v>DETERMINA N. 210 DEL 30/03/2017</v>
      </c>
      <c r="E132" s="8" t="s">
        <v>292</v>
      </c>
      <c r="F132" s="5" t="s">
        <v>12</v>
      </c>
      <c r="G132" s="5" t="s">
        <v>28</v>
      </c>
      <c r="H132" s="9"/>
      <c r="I132" s="9"/>
      <c r="J132" s="9"/>
      <c r="K132" s="9"/>
      <c r="L132" s="9"/>
      <c r="M132" s="9"/>
      <c r="N132" s="9"/>
      <c r="O132" s="9"/>
      <c r="P132" s="9"/>
    </row>
    <row r="133" ht="30.0" customHeight="1">
      <c r="A133" s="4" t="s">
        <v>293</v>
      </c>
      <c r="B133" s="5" t="s">
        <v>294</v>
      </c>
      <c r="C133" s="11">
        <v>14809.68</v>
      </c>
      <c r="D133" s="10" t="str">
        <f t="shared" si="8"/>
        <v>DETERMINA N. 210 DEL 30/03/2017</v>
      </c>
      <c r="E133" s="8" t="s">
        <v>295</v>
      </c>
      <c r="F133" s="5" t="s">
        <v>12</v>
      </c>
      <c r="G133" s="5" t="s">
        <v>28</v>
      </c>
      <c r="H133" s="9"/>
      <c r="I133" s="9"/>
      <c r="J133" s="9"/>
      <c r="K133" s="9"/>
      <c r="L133" s="9"/>
      <c r="M133" s="9"/>
      <c r="N133" s="9"/>
      <c r="O133" s="9"/>
      <c r="P133" s="9"/>
    </row>
    <row r="134" ht="30.0" customHeight="1">
      <c r="A134" s="4" t="s">
        <v>296</v>
      </c>
      <c r="B134" s="5" t="s">
        <v>297</v>
      </c>
      <c r="C134" s="11">
        <v>198424.76</v>
      </c>
      <c r="D134" s="7" t="str">
        <f>HYPERLINK("http://www.usrc.it/AppRendiConta/det_214_20170330.pdf","DETERMINA N. 214 DEL 30/03/2017")</f>
        <v>DETERMINA N. 214 DEL 30/03/2017</v>
      </c>
      <c r="E134" s="8" t="s">
        <v>298</v>
      </c>
      <c r="F134" s="5" t="s">
        <v>12</v>
      </c>
      <c r="G134" s="5" t="s">
        <v>13</v>
      </c>
      <c r="H134" s="9"/>
      <c r="I134" s="9"/>
      <c r="J134" s="9"/>
      <c r="K134" s="9"/>
      <c r="L134" s="9"/>
      <c r="M134" s="9"/>
      <c r="N134" s="9"/>
      <c r="O134" s="9"/>
      <c r="P134" s="9"/>
    </row>
    <row r="135" ht="30.0" customHeight="1">
      <c r="A135" s="4" t="s">
        <v>113</v>
      </c>
      <c r="B135" s="5" t="s">
        <v>114</v>
      </c>
      <c r="C135" s="11">
        <v>30709.52</v>
      </c>
      <c r="D135" s="14" t="str">
        <f>HYPERLINK("http://www.usrc.it/AppRendiConta/det_218_20170404.pdf","DETERMINA N. 218 DEL 04/04/2017")</f>
        <v>DETERMINA N. 218 DEL 04/04/2017</v>
      </c>
      <c r="E135" s="8" t="s">
        <v>195</v>
      </c>
      <c r="F135" s="5" t="s">
        <v>12</v>
      </c>
      <c r="G135" s="5" t="s">
        <v>24</v>
      </c>
      <c r="H135" s="9"/>
      <c r="I135" s="9"/>
      <c r="J135" s="9"/>
      <c r="K135" s="9"/>
      <c r="L135" s="9"/>
      <c r="M135" s="9"/>
      <c r="N135" s="9"/>
      <c r="O135" s="9"/>
      <c r="P135" s="9"/>
    </row>
    <row r="136" ht="30.0" customHeight="1">
      <c r="A136" s="4" t="s">
        <v>299</v>
      </c>
      <c r="B136" s="5" t="s">
        <v>300</v>
      </c>
      <c r="C136" s="11">
        <v>201280.89</v>
      </c>
      <c r="D136" s="7" t="str">
        <f>HYPERLINK("http://www.usrc.it/AppRendiConta/det_227_20170406.pdf","DETERMINA N. 227 DEL 06/04/2017")</f>
        <v>DETERMINA N. 227 DEL 06/04/2017</v>
      </c>
      <c r="E136" s="8" t="s">
        <v>301</v>
      </c>
      <c r="F136" s="5" t="s">
        <v>12</v>
      </c>
      <c r="G136" s="5" t="s">
        <v>13</v>
      </c>
      <c r="H136" s="9"/>
      <c r="I136" s="9"/>
      <c r="J136" s="9"/>
      <c r="K136" s="9"/>
      <c r="L136" s="9"/>
      <c r="M136" s="9"/>
      <c r="N136" s="9"/>
      <c r="O136" s="9"/>
      <c r="P136" s="9"/>
    </row>
    <row r="137" ht="30.0" customHeight="1">
      <c r="A137" s="4" t="s">
        <v>302</v>
      </c>
      <c r="B137" s="5" t="s">
        <v>303</v>
      </c>
      <c r="C137" s="11">
        <v>1224760.54</v>
      </c>
      <c r="D137" s="7" t="str">
        <f>HYPERLINK("http://www.usrc.it/AppRendiConta/det_228_20170406.pdf","DETERMINA N. 228 DEL 06/04/2017")</f>
        <v>DETERMINA N. 228 DEL 06/04/2017</v>
      </c>
      <c r="E137" s="8" t="s">
        <v>304</v>
      </c>
      <c r="F137" s="5" t="s">
        <v>12</v>
      </c>
      <c r="G137" s="5" t="s">
        <v>17</v>
      </c>
      <c r="H137" s="9"/>
      <c r="I137" s="9"/>
      <c r="J137" s="9"/>
      <c r="K137" s="9"/>
      <c r="L137" s="9"/>
      <c r="M137" s="9"/>
      <c r="N137" s="9"/>
      <c r="O137" s="9"/>
      <c r="P137" s="9"/>
    </row>
    <row r="138" ht="30.0" customHeight="1">
      <c r="A138" s="4" t="s">
        <v>190</v>
      </c>
      <c r="B138" s="5" t="s">
        <v>191</v>
      </c>
      <c r="C138" s="11">
        <v>361746.68</v>
      </c>
      <c r="D138" s="7" t="str">
        <f>HYPERLINK("http://www.usrc.it/AppRendiConta/det_233_20170406.pdf","DETERMINA N. 233 DEL 06/04/2017")</f>
        <v>DETERMINA N. 233 DEL 06/04/2017</v>
      </c>
      <c r="E138" s="8" t="s">
        <v>305</v>
      </c>
      <c r="F138" s="5" t="s">
        <v>12</v>
      </c>
      <c r="G138" s="5" t="s">
        <v>24</v>
      </c>
      <c r="H138" s="9"/>
      <c r="I138" s="9"/>
      <c r="J138" s="9"/>
      <c r="K138" s="9"/>
      <c r="L138" s="9"/>
      <c r="M138" s="9"/>
      <c r="N138" s="9"/>
      <c r="O138" s="9"/>
      <c r="P138" s="9"/>
    </row>
    <row r="139" ht="30.0" customHeight="1">
      <c r="A139" s="4" t="s">
        <v>52</v>
      </c>
      <c r="B139" s="5" t="s">
        <v>53</v>
      </c>
      <c r="C139" s="11">
        <v>12807.05</v>
      </c>
      <c r="D139" s="7" t="str">
        <f>HYPERLINK("http://www.usrc.it/AppRendiConta/det_234_20170406.pdf","DETERMINA N. 234 DEL 06/04/2017")</f>
        <v>DETERMINA N. 234 DEL 06/04/2017</v>
      </c>
      <c r="E139" s="8" t="s">
        <v>306</v>
      </c>
      <c r="F139" s="5" t="s">
        <v>12</v>
      </c>
      <c r="G139" s="5" t="s">
        <v>24</v>
      </c>
      <c r="H139" s="9"/>
      <c r="I139" s="9"/>
      <c r="J139" s="9"/>
      <c r="K139" s="9"/>
      <c r="L139" s="9"/>
      <c r="M139" s="9"/>
      <c r="N139" s="9"/>
      <c r="O139" s="9"/>
      <c r="P139" s="9"/>
    </row>
    <row r="140" ht="30.0" customHeight="1">
      <c r="A140" s="4" t="s">
        <v>90</v>
      </c>
      <c r="B140" s="5" t="s">
        <v>91</v>
      </c>
      <c r="C140" s="11">
        <v>7516.71</v>
      </c>
      <c r="D140" s="7" t="str">
        <f>HYPERLINK("http://www.usrc.it/AppRendiConta/det_235_20170406.pdf","DETERMINA N. 235 DEL 06/04/2017")</f>
        <v>DETERMINA N. 235 DEL 06/04/2017</v>
      </c>
      <c r="E140" s="8" t="s">
        <v>307</v>
      </c>
      <c r="F140" s="5" t="s">
        <v>12</v>
      </c>
      <c r="G140" s="5" t="s">
        <v>24</v>
      </c>
      <c r="H140" s="9"/>
      <c r="I140" s="9"/>
      <c r="J140" s="9"/>
      <c r="K140" s="9"/>
      <c r="L140" s="9"/>
      <c r="M140" s="9"/>
      <c r="N140" s="9"/>
      <c r="O140" s="9"/>
      <c r="P140" s="9"/>
    </row>
    <row r="141" ht="30.0" customHeight="1">
      <c r="A141" s="4" t="s">
        <v>90</v>
      </c>
      <c r="B141" s="5" t="s">
        <v>91</v>
      </c>
      <c r="C141" s="11">
        <v>3416.0</v>
      </c>
      <c r="D141" s="7" t="str">
        <f>HYPERLINK("http://www.usrc.it/AppRendiConta/det_236_20170406.pdf","DETERMINA N. 236 DEL 06/04/2017")</f>
        <v>DETERMINA N. 236 DEL 06/04/2017</v>
      </c>
      <c r="E141" s="8" t="s">
        <v>308</v>
      </c>
      <c r="F141" s="5" t="s">
        <v>12</v>
      </c>
      <c r="G141" s="5" t="s">
        <v>24</v>
      </c>
      <c r="H141" s="9"/>
      <c r="I141" s="9"/>
      <c r="J141" s="9"/>
      <c r="K141" s="9"/>
      <c r="L141" s="9"/>
      <c r="M141" s="9"/>
      <c r="N141" s="9"/>
      <c r="O141" s="9"/>
      <c r="P141" s="9"/>
    </row>
    <row r="142" ht="30.0" customHeight="1">
      <c r="A142" s="4" t="s">
        <v>52</v>
      </c>
      <c r="B142" s="5" t="s">
        <v>53</v>
      </c>
      <c r="C142" s="11">
        <v>1770.0</v>
      </c>
      <c r="D142" s="7" t="str">
        <f>HYPERLINK("http://www.usrc.it/AppRendiConta/det_237_20170406.pdf","DETERMINA N. 237 DEL 06/04/2017")</f>
        <v>DETERMINA N. 237 DEL 06/04/2017</v>
      </c>
      <c r="E142" s="15" t="s">
        <v>309</v>
      </c>
      <c r="F142" s="5" t="s">
        <v>12</v>
      </c>
      <c r="G142" s="5" t="s">
        <v>24</v>
      </c>
      <c r="H142" s="9"/>
      <c r="I142" s="9"/>
      <c r="J142" s="9"/>
      <c r="K142" s="9"/>
      <c r="L142" s="9"/>
      <c r="M142" s="9"/>
      <c r="N142" s="9"/>
      <c r="O142" s="9"/>
      <c r="P142" s="9"/>
    </row>
    <row r="143" ht="30.0" customHeight="1">
      <c r="A143" s="4" t="s">
        <v>29</v>
      </c>
      <c r="B143" s="5" t="s">
        <v>30</v>
      </c>
      <c r="C143" s="11">
        <v>546451.47</v>
      </c>
      <c r="D143" s="7" t="str">
        <f>HYPERLINK("http://www.usrc.it/AppRendiConta/det_246_20170419.pdf","DETERMINA N. 246 DEL 19/04/2017")</f>
        <v>DETERMINA N. 246 DEL 19/04/2017</v>
      </c>
      <c r="E143" s="8" t="s">
        <v>310</v>
      </c>
      <c r="F143" s="5" t="s">
        <v>12</v>
      </c>
      <c r="G143" s="5" t="s">
        <v>311</v>
      </c>
      <c r="H143" s="9"/>
      <c r="I143" s="9"/>
      <c r="J143" s="9"/>
      <c r="K143" s="9"/>
      <c r="L143" s="9"/>
      <c r="M143" s="9"/>
      <c r="N143" s="9"/>
      <c r="O143" s="9"/>
      <c r="P143" s="9"/>
    </row>
    <row r="144" ht="30.0" customHeight="1">
      <c r="A144" s="4" t="s">
        <v>312</v>
      </c>
      <c r="B144" s="5" t="s">
        <v>313</v>
      </c>
      <c r="C144" s="11">
        <v>194520.99</v>
      </c>
      <c r="D144" s="7" t="str">
        <f>HYPERLINK("http://www.usrc.it/AppRendiConta/det_250_20170419.pdf","DETERMINA N. 250 DEL 19/04/2017")</f>
        <v>DETERMINA N. 250 DEL 19/04/2017</v>
      </c>
      <c r="E144" s="8" t="s">
        <v>314</v>
      </c>
      <c r="F144" s="5" t="s">
        <v>12</v>
      </c>
      <c r="G144" s="5" t="s">
        <v>58</v>
      </c>
      <c r="H144" s="9"/>
      <c r="I144" s="9"/>
      <c r="J144" s="9"/>
      <c r="K144" s="9"/>
      <c r="L144" s="9"/>
      <c r="M144" s="9"/>
      <c r="N144" s="9"/>
      <c r="O144" s="9"/>
      <c r="P144" s="9"/>
    </row>
    <row r="145" ht="30.0" customHeight="1">
      <c r="A145" s="4" t="s">
        <v>145</v>
      </c>
      <c r="B145" s="5" t="s">
        <v>146</v>
      </c>
      <c r="C145" s="11">
        <v>52500.0</v>
      </c>
      <c r="D145" s="7" t="str">
        <f>HYPERLINK("http://www.usrc.it/AppRendiConta/det_253_20170420.pdf","DETERMINA N. 253 DEL 20/04/2017")</f>
        <v>DETERMINA N. 253 DEL 20/04/2017</v>
      </c>
      <c r="E145" s="8" t="s">
        <v>315</v>
      </c>
      <c r="F145" s="5" t="s">
        <v>12</v>
      </c>
      <c r="G145" s="5" t="s">
        <v>58</v>
      </c>
      <c r="H145" s="9"/>
      <c r="I145" s="9"/>
      <c r="J145" s="9"/>
      <c r="K145" s="9"/>
      <c r="L145" s="9"/>
      <c r="M145" s="9"/>
      <c r="N145" s="9"/>
      <c r="O145" s="9"/>
      <c r="P145" s="9"/>
    </row>
    <row r="146" ht="30.0" customHeight="1">
      <c r="A146" s="4" t="s">
        <v>316</v>
      </c>
      <c r="B146" s="5" t="s">
        <v>317</v>
      </c>
      <c r="C146" s="11">
        <v>19307.03</v>
      </c>
      <c r="D146" s="7" t="str">
        <f>HYPERLINK("http://www.usrc.it/AppRendiConta/det_258_20170420.pdf","DETERMINA N. 258 DEL 20/04/2017")</f>
        <v>DETERMINA N. 258 DEL 20/04/2017</v>
      </c>
      <c r="E146" s="8" t="s">
        <v>318</v>
      </c>
      <c r="F146" s="5" t="s">
        <v>12</v>
      </c>
      <c r="G146" s="5" t="s">
        <v>24</v>
      </c>
      <c r="H146" s="9"/>
      <c r="I146" s="9"/>
      <c r="J146" s="9"/>
      <c r="K146" s="9"/>
      <c r="L146" s="9"/>
      <c r="M146" s="9"/>
      <c r="N146" s="9"/>
      <c r="O146" s="9"/>
      <c r="P146" s="9"/>
    </row>
    <row r="147" ht="30.0" customHeight="1">
      <c r="A147" s="4" t="s">
        <v>49</v>
      </c>
      <c r="B147" s="5" t="s">
        <v>50</v>
      </c>
      <c r="C147" s="11">
        <v>1743898.45</v>
      </c>
      <c r="D147" s="10" t="str">
        <f>HYPERLINK("http://www.usrc.it/AppRendiConta/det_261_20170420.pdf","DETERMINA N. 261 DEL 20/04/2017")</f>
        <v>DETERMINA N. 261 DEL 20/04/2017</v>
      </c>
      <c r="E147" s="8" t="s">
        <v>319</v>
      </c>
      <c r="F147" s="8" t="s">
        <v>12</v>
      </c>
      <c r="G147" s="8" t="s">
        <v>320</v>
      </c>
      <c r="H147" s="9"/>
      <c r="I147" s="9"/>
      <c r="J147" s="9"/>
      <c r="K147" s="9"/>
      <c r="L147" s="9"/>
      <c r="M147" s="9"/>
      <c r="N147" s="9"/>
      <c r="O147" s="9"/>
      <c r="P147" s="9"/>
    </row>
    <row r="148" ht="30.0" customHeight="1">
      <c r="A148" s="4" t="s">
        <v>276</v>
      </c>
      <c r="B148" s="5" t="s">
        <v>277</v>
      </c>
      <c r="C148" s="11">
        <v>3142703.95</v>
      </c>
      <c r="D148" s="10" t="str">
        <f>HYPERLINK("http://www.usrc.it/AppRendiConta/det_262_20170420.pdf","DETERMINA N. 262 DEL 20/04/2017")</f>
        <v>DETERMINA N. 262 DEL 20/04/2017</v>
      </c>
      <c r="E148" s="8" t="s">
        <v>321</v>
      </c>
      <c r="F148" s="8" t="s">
        <v>12</v>
      </c>
      <c r="G148" s="8" t="s">
        <v>322</v>
      </c>
      <c r="H148" s="9"/>
      <c r="I148" s="9"/>
      <c r="J148" s="9"/>
      <c r="K148" s="9"/>
      <c r="L148" s="9"/>
      <c r="M148" s="9"/>
      <c r="N148" s="9"/>
      <c r="O148" s="9"/>
      <c r="P148" s="9"/>
    </row>
    <row r="149" ht="30.0" customHeight="1">
      <c r="A149" s="4" t="s">
        <v>323</v>
      </c>
      <c r="B149" s="5" t="s">
        <v>324</v>
      </c>
      <c r="C149" s="11">
        <v>314900.6</v>
      </c>
      <c r="D149" s="10" t="str">
        <f>HYPERLINK("http://www.usrc.it/AppRendiConta/det_263_20170420.pdf","DETERMINA N. 263 DEL 20/04/2017")</f>
        <v>DETERMINA N. 263 DEL 20/04/2017</v>
      </c>
      <c r="E149" s="8" t="s">
        <v>325</v>
      </c>
      <c r="F149" s="8" t="s">
        <v>12</v>
      </c>
      <c r="G149" s="8" t="s">
        <v>13</v>
      </c>
      <c r="H149" s="9"/>
      <c r="I149" s="9"/>
      <c r="J149" s="9"/>
      <c r="K149" s="9"/>
      <c r="L149" s="9"/>
      <c r="M149" s="9"/>
      <c r="N149" s="9"/>
      <c r="O149" s="9"/>
      <c r="P149" s="9"/>
    </row>
    <row r="150" ht="30.0" customHeight="1">
      <c r="A150" s="4" t="s">
        <v>326</v>
      </c>
      <c r="B150" s="5" t="s">
        <v>327</v>
      </c>
      <c r="C150" s="11">
        <v>92664.03</v>
      </c>
      <c r="D150" s="10" t="str">
        <f>HYPERLINK("http://www.usrc.it/AppRendiConta/det_270_20170426.pdf","DETERMINA N. 270 DEL 26/04/2017")</f>
        <v>DETERMINA N. 270 DEL 26/04/2017</v>
      </c>
      <c r="E150" s="5" t="s">
        <v>328</v>
      </c>
      <c r="F150" s="8" t="s">
        <v>12</v>
      </c>
      <c r="G150" s="8" t="s">
        <v>204</v>
      </c>
      <c r="H150" s="9"/>
      <c r="I150" s="9"/>
      <c r="J150" s="9"/>
      <c r="K150" s="9"/>
      <c r="L150" s="9"/>
      <c r="M150" s="9"/>
      <c r="N150" s="9"/>
      <c r="O150" s="9"/>
      <c r="P150" s="9"/>
    </row>
    <row r="151" ht="30.0" customHeight="1">
      <c r="A151" s="4" t="s">
        <v>210</v>
      </c>
      <c r="B151" s="5" t="s">
        <v>211</v>
      </c>
      <c r="C151" s="11">
        <v>4369638.01</v>
      </c>
      <c r="D151" s="10" t="str">
        <f>HYPERLINK("http://www.usrc.it/AppRendiConta/det_271_20170426.pdf","DETERMINA N. 271 DEL 26/04/2017")</f>
        <v>DETERMINA N. 271 DEL 26/04/2017</v>
      </c>
      <c r="E151" s="5" t="s">
        <v>329</v>
      </c>
      <c r="F151" s="8" t="s">
        <v>12</v>
      </c>
      <c r="G151" s="8" t="s">
        <v>330</v>
      </c>
      <c r="H151" s="9"/>
      <c r="I151" s="9"/>
      <c r="J151" s="9"/>
      <c r="K151" s="9"/>
      <c r="L151" s="9"/>
      <c r="M151" s="9"/>
      <c r="N151" s="9"/>
      <c r="O151" s="9"/>
      <c r="P151" s="9"/>
    </row>
    <row r="152" ht="30.0" customHeight="1">
      <c r="A152" s="4" t="s">
        <v>95</v>
      </c>
      <c r="B152" s="5" t="s">
        <v>96</v>
      </c>
      <c r="C152" s="11">
        <v>2563667.94</v>
      </c>
      <c r="D152" s="10" t="str">
        <f>HYPERLINK("http://www.usrc.it/AppRendiConta/det_272_20170426.pdf","DETERMINA N. 272 DEL 26/04/2017")</f>
        <v>DETERMINA N. 272 DEL 26/04/2017</v>
      </c>
      <c r="E152" s="5" t="s">
        <v>331</v>
      </c>
      <c r="F152" s="8" t="s">
        <v>12</v>
      </c>
      <c r="G152" s="8" t="s">
        <v>332</v>
      </c>
      <c r="H152" s="9"/>
      <c r="I152" s="9"/>
      <c r="J152" s="9"/>
      <c r="K152" s="9"/>
      <c r="L152" s="9"/>
      <c r="M152" s="9"/>
      <c r="N152" s="9"/>
      <c r="O152" s="9"/>
      <c r="P152" s="9"/>
    </row>
    <row r="153" ht="30.0" customHeight="1">
      <c r="A153" s="4" t="s">
        <v>103</v>
      </c>
      <c r="B153" s="5" t="s">
        <v>104</v>
      </c>
      <c r="C153" s="11">
        <v>1342.0</v>
      </c>
      <c r="D153" s="10" t="str">
        <f t="shared" ref="D153:D165" si="9">HYPERLINK("http://www.usrc.it/AppRendiConta/det_277_20170502.pdf","DETERMINA N. 277 DEL 02/05/2017")</f>
        <v>DETERMINA N. 277 DEL 02/05/2017</v>
      </c>
      <c r="E153" s="8" t="s">
        <v>333</v>
      </c>
      <c r="F153" s="8" t="s">
        <v>12</v>
      </c>
      <c r="G153" s="8" t="s">
        <v>28</v>
      </c>
      <c r="H153" s="9"/>
      <c r="I153" s="9"/>
      <c r="J153" s="9"/>
      <c r="K153" s="9"/>
      <c r="L153" s="9"/>
      <c r="M153" s="9"/>
      <c r="N153" s="9"/>
      <c r="O153" s="9"/>
      <c r="P153" s="9"/>
    </row>
    <row r="154" ht="30.0" customHeight="1">
      <c r="A154" s="4" t="s">
        <v>334</v>
      </c>
      <c r="B154" s="5" t="s">
        <v>335</v>
      </c>
      <c r="C154" s="11">
        <v>9051.8</v>
      </c>
      <c r="D154" s="10" t="str">
        <f t="shared" si="9"/>
        <v>DETERMINA N. 277 DEL 02/05/2017</v>
      </c>
      <c r="E154" s="8" t="s">
        <v>336</v>
      </c>
      <c r="F154" s="8" t="s">
        <v>12</v>
      </c>
      <c r="G154" s="8" t="s">
        <v>28</v>
      </c>
      <c r="H154" s="9"/>
      <c r="I154" s="9"/>
      <c r="J154" s="9"/>
      <c r="K154" s="9"/>
      <c r="L154" s="9"/>
      <c r="M154" s="9"/>
      <c r="N154" s="9"/>
      <c r="O154" s="9"/>
      <c r="P154" s="9"/>
    </row>
    <row r="155" ht="30.0" customHeight="1">
      <c r="A155" s="4" t="s">
        <v>108</v>
      </c>
      <c r="B155" s="5" t="s">
        <v>109</v>
      </c>
      <c r="C155" s="11">
        <v>18458.4</v>
      </c>
      <c r="D155" s="10" t="str">
        <f t="shared" si="9"/>
        <v>DETERMINA N. 277 DEL 02/05/2017</v>
      </c>
      <c r="E155" s="8" t="s">
        <v>337</v>
      </c>
      <c r="F155" s="8" t="s">
        <v>12</v>
      </c>
      <c r="G155" s="8" t="s">
        <v>28</v>
      </c>
      <c r="H155" s="9"/>
      <c r="I155" s="9"/>
      <c r="J155" s="9"/>
      <c r="K155" s="9"/>
      <c r="L155" s="9"/>
      <c r="M155" s="9"/>
      <c r="N155" s="9"/>
      <c r="O155" s="9"/>
      <c r="P155" s="9"/>
    </row>
    <row r="156" ht="30.0" customHeight="1">
      <c r="A156" s="4" t="s">
        <v>338</v>
      </c>
      <c r="B156" s="5" t="s">
        <v>339</v>
      </c>
      <c r="C156" s="11">
        <v>11676.0</v>
      </c>
      <c r="D156" s="10" t="str">
        <f t="shared" si="9"/>
        <v>DETERMINA N. 277 DEL 02/05/2017</v>
      </c>
      <c r="E156" s="8" t="s">
        <v>340</v>
      </c>
      <c r="F156" s="8" t="s">
        <v>12</v>
      </c>
      <c r="G156" s="8" t="s">
        <v>28</v>
      </c>
      <c r="H156" s="9"/>
      <c r="I156" s="9"/>
      <c r="J156" s="9"/>
      <c r="K156" s="9"/>
      <c r="L156" s="9"/>
      <c r="M156" s="9"/>
      <c r="N156" s="9"/>
      <c r="O156" s="9"/>
      <c r="P156" s="9"/>
    </row>
    <row r="157" ht="30.0" customHeight="1">
      <c r="A157" s="4" t="s">
        <v>159</v>
      </c>
      <c r="B157" s="5" t="s">
        <v>160</v>
      </c>
      <c r="C157" s="11">
        <v>14669.28</v>
      </c>
      <c r="D157" s="10" t="str">
        <f t="shared" si="9"/>
        <v>DETERMINA N. 277 DEL 02/05/2017</v>
      </c>
      <c r="E157" s="8" t="s">
        <v>341</v>
      </c>
      <c r="F157" s="8" t="s">
        <v>12</v>
      </c>
      <c r="G157" s="8" t="s">
        <v>28</v>
      </c>
      <c r="H157" s="9"/>
      <c r="I157" s="9"/>
      <c r="J157" s="9"/>
      <c r="K157" s="9"/>
      <c r="L157" s="9"/>
      <c r="M157" s="9"/>
      <c r="N157" s="9"/>
      <c r="O157" s="9"/>
      <c r="P157" s="9"/>
    </row>
    <row r="158" ht="30.0" customHeight="1">
      <c r="A158" s="4" t="s">
        <v>21</v>
      </c>
      <c r="B158" s="5" t="s">
        <v>22</v>
      </c>
      <c r="C158" s="11">
        <v>6860.55</v>
      </c>
      <c r="D158" s="10" t="str">
        <f t="shared" si="9"/>
        <v>DETERMINA N. 277 DEL 02/05/2017</v>
      </c>
      <c r="E158" s="8" t="s">
        <v>177</v>
      </c>
      <c r="F158" s="8" t="s">
        <v>12</v>
      </c>
      <c r="G158" s="8" t="s">
        <v>28</v>
      </c>
      <c r="H158" s="9"/>
      <c r="I158" s="9"/>
      <c r="J158" s="9"/>
      <c r="K158" s="9"/>
      <c r="L158" s="9"/>
      <c r="M158" s="9"/>
      <c r="N158" s="9"/>
      <c r="O158" s="9"/>
      <c r="P158" s="9"/>
    </row>
    <row r="159" ht="30.0" customHeight="1">
      <c r="A159" s="4" t="s">
        <v>29</v>
      </c>
      <c r="B159" s="5" t="s">
        <v>30</v>
      </c>
      <c r="C159" s="11">
        <v>2239.2</v>
      </c>
      <c r="D159" s="10" t="str">
        <f t="shared" si="9"/>
        <v>DETERMINA N. 277 DEL 02/05/2017</v>
      </c>
      <c r="E159" s="8" t="s">
        <v>167</v>
      </c>
      <c r="F159" s="8" t="s">
        <v>12</v>
      </c>
      <c r="G159" s="8" t="s">
        <v>28</v>
      </c>
      <c r="H159" s="9"/>
      <c r="I159" s="9"/>
      <c r="J159" s="9"/>
      <c r="K159" s="9"/>
      <c r="L159" s="9"/>
      <c r="M159" s="9"/>
      <c r="N159" s="9"/>
      <c r="O159" s="9"/>
      <c r="P159" s="9"/>
    </row>
    <row r="160" ht="30.0" customHeight="1">
      <c r="A160" s="4" t="s">
        <v>172</v>
      </c>
      <c r="B160" s="5" t="s">
        <v>173</v>
      </c>
      <c r="C160" s="11">
        <v>2623.0</v>
      </c>
      <c r="D160" s="10" t="str">
        <f t="shared" si="9"/>
        <v>DETERMINA N. 277 DEL 02/05/2017</v>
      </c>
      <c r="E160" s="8" t="s">
        <v>171</v>
      </c>
      <c r="F160" s="8" t="s">
        <v>12</v>
      </c>
      <c r="G160" s="8" t="s">
        <v>28</v>
      </c>
      <c r="H160" s="9"/>
      <c r="I160" s="9"/>
      <c r="J160" s="9"/>
      <c r="K160" s="9"/>
      <c r="L160" s="9"/>
      <c r="M160" s="9"/>
      <c r="N160" s="9"/>
      <c r="O160" s="9"/>
      <c r="P160" s="9"/>
    </row>
    <row r="161" ht="30.0" customHeight="1">
      <c r="A161" s="4" t="s">
        <v>175</v>
      </c>
      <c r="B161" s="5" t="s">
        <v>176</v>
      </c>
      <c r="C161" s="11">
        <v>1220.0</v>
      </c>
      <c r="D161" s="10" t="str">
        <f t="shared" si="9"/>
        <v>DETERMINA N. 277 DEL 02/05/2017</v>
      </c>
      <c r="E161" s="8" t="s">
        <v>342</v>
      </c>
      <c r="F161" s="8" t="s">
        <v>12</v>
      </c>
      <c r="G161" s="8" t="s">
        <v>28</v>
      </c>
      <c r="H161" s="9"/>
      <c r="I161" s="9"/>
      <c r="J161" s="9"/>
      <c r="K161" s="9"/>
      <c r="L161" s="9"/>
      <c r="M161" s="9"/>
      <c r="N161" s="9"/>
      <c r="O161" s="9"/>
      <c r="P161" s="9"/>
    </row>
    <row r="162" ht="30.0" customHeight="1">
      <c r="A162" s="4" t="s">
        <v>36</v>
      </c>
      <c r="B162" s="5" t="s">
        <v>37</v>
      </c>
      <c r="C162" s="11">
        <v>23655.2</v>
      </c>
      <c r="D162" s="10" t="str">
        <f t="shared" si="9"/>
        <v>DETERMINA N. 277 DEL 02/05/2017</v>
      </c>
      <c r="E162" s="8" t="s">
        <v>343</v>
      </c>
      <c r="F162" s="8" t="s">
        <v>12</v>
      </c>
      <c r="G162" s="8" t="s">
        <v>28</v>
      </c>
      <c r="H162" s="9"/>
      <c r="I162" s="9"/>
      <c r="J162" s="9"/>
      <c r="K162" s="9"/>
      <c r="L162" s="9"/>
      <c r="M162" s="9"/>
      <c r="N162" s="9"/>
      <c r="O162" s="9"/>
      <c r="P162" s="9"/>
    </row>
    <row r="163" ht="30.0" customHeight="1">
      <c r="A163" s="4" t="s">
        <v>95</v>
      </c>
      <c r="B163" s="5" t="s">
        <v>96</v>
      </c>
      <c r="C163" s="11">
        <v>2098.4</v>
      </c>
      <c r="D163" s="10" t="str">
        <f t="shared" si="9"/>
        <v>DETERMINA N. 277 DEL 02/05/2017</v>
      </c>
      <c r="E163" s="8" t="s">
        <v>344</v>
      </c>
      <c r="F163" s="8" t="s">
        <v>12</v>
      </c>
      <c r="G163" s="8" t="s">
        <v>28</v>
      </c>
      <c r="H163" s="9"/>
      <c r="I163" s="9"/>
      <c r="J163" s="9"/>
      <c r="K163" s="9"/>
      <c r="L163" s="9"/>
      <c r="M163" s="9"/>
      <c r="N163" s="9"/>
      <c r="O163" s="9"/>
      <c r="P163" s="9"/>
    </row>
    <row r="164" ht="30.0" customHeight="1">
      <c r="A164" s="4" t="s">
        <v>32</v>
      </c>
      <c r="B164" s="5" t="s">
        <v>33</v>
      </c>
      <c r="C164" s="16">
        <v>2098.4</v>
      </c>
      <c r="D164" s="10" t="str">
        <f t="shared" si="9"/>
        <v>DETERMINA N. 277 DEL 02/05/2017</v>
      </c>
      <c r="E164" s="8" t="s">
        <v>345</v>
      </c>
      <c r="F164" s="8" t="s">
        <v>12</v>
      </c>
      <c r="G164" s="8" t="s">
        <v>28</v>
      </c>
      <c r="H164" s="9"/>
      <c r="I164" s="9"/>
      <c r="J164" s="9"/>
      <c r="K164" s="9"/>
      <c r="L164" s="9"/>
      <c r="M164" s="9"/>
      <c r="N164" s="9"/>
      <c r="O164" s="9"/>
      <c r="P164" s="9"/>
    </row>
    <row r="165" ht="30.0" customHeight="1">
      <c r="A165" s="4" t="s">
        <v>179</v>
      </c>
      <c r="B165" s="5" t="s">
        <v>180</v>
      </c>
      <c r="C165" s="11">
        <v>420.0</v>
      </c>
      <c r="D165" s="10" t="str">
        <f t="shared" si="9"/>
        <v>DETERMINA N. 277 DEL 02/05/2017</v>
      </c>
      <c r="E165" s="5" t="s">
        <v>171</v>
      </c>
      <c r="F165" s="5" t="s">
        <v>12</v>
      </c>
      <c r="G165" s="5" t="s">
        <v>28</v>
      </c>
      <c r="H165" s="9"/>
      <c r="I165" s="9"/>
      <c r="J165" s="9"/>
      <c r="K165" s="9"/>
      <c r="L165" s="9"/>
      <c r="M165" s="9"/>
      <c r="N165" s="9"/>
      <c r="O165" s="9"/>
      <c r="P165" s="9"/>
    </row>
    <row r="166" ht="30.0" customHeight="1">
      <c r="A166" s="4" t="s">
        <v>134</v>
      </c>
      <c r="B166" s="5" t="s">
        <v>135</v>
      </c>
      <c r="C166" s="11">
        <v>9298.0</v>
      </c>
      <c r="D166" s="17" t="s">
        <v>346</v>
      </c>
      <c r="E166" s="5" t="s">
        <v>347</v>
      </c>
      <c r="F166" s="5" t="s">
        <v>12</v>
      </c>
      <c r="G166" s="5" t="s">
        <v>28</v>
      </c>
      <c r="H166" s="9"/>
      <c r="I166" s="9"/>
      <c r="J166" s="9"/>
      <c r="K166" s="9"/>
      <c r="L166" s="9"/>
      <c r="M166" s="9"/>
      <c r="N166" s="9"/>
      <c r="O166" s="9"/>
      <c r="P166" s="9"/>
    </row>
    <row r="167" ht="30.0" customHeight="1">
      <c r="A167" s="4" t="s">
        <v>103</v>
      </c>
      <c r="B167" s="5" t="s">
        <v>104</v>
      </c>
      <c r="C167" s="11">
        <v>33581.9</v>
      </c>
      <c r="D167" s="10" t="str">
        <f>HYPERLINK("http://www.usrc.it/AppRendiConta/det_280_20170502.pdf","DETERMINA N. 280 DEL 02/05/2017")</f>
        <v>DETERMINA N. 280 DEL 02/05/2017</v>
      </c>
      <c r="E167" s="5" t="s">
        <v>348</v>
      </c>
      <c r="F167" s="5" t="s">
        <v>12</v>
      </c>
      <c r="G167" s="5" t="s">
        <v>206</v>
      </c>
      <c r="H167" s="9"/>
      <c r="I167" s="9"/>
      <c r="J167" s="9"/>
      <c r="K167" s="9"/>
      <c r="L167" s="9"/>
      <c r="M167" s="9"/>
      <c r="N167" s="9"/>
      <c r="O167" s="9"/>
      <c r="P167" s="9"/>
    </row>
    <row r="168" ht="30.0" customHeight="1">
      <c r="A168" s="4" t="s">
        <v>185</v>
      </c>
      <c r="B168" s="5" t="s">
        <v>186</v>
      </c>
      <c r="C168" s="11">
        <v>149490.0</v>
      </c>
      <c r="D168" s="10" t="str">
        <f>HYPERLINK("http://www.usrc.it/AppRendiConta/det_282_20170502.pdf","DETERMINA N. 282 DEL 02/05/2017")</f>
        <v>DETERMINA N. 282 DEL 02/05/2017</v>
      </c>
      <c r="E168" s="5" t="s">
        <v>349</v>
      </c>
      <c r="F168" s="5" t="s">
        <v>12</v>
      </c>
      <c r="G168" s="5" t="s">
        <v>24</v>
      </c>
      <c r="H168" s="9"/>
      <c r="I168" s="9"/>
      <c r="J168" s="9"/>
      <c r="K168" s="9"/>
      <c r="L168" s="9"/>
      <c r="M168" s="9"/>
      <c r="N168" s="9"/>
      <c r="O168" s="9"/>
      <c r="P168" s="9"/>
    </row>
    <row r="169" ht="30.0" customHeight="1">
      <c r="A169" s="4" t="s">
        <v>334</v>
      </c>
      <c r="B169" s="5" t="s">
        <v>335</v>
      </c>
      <c r="C169" s="11">
        <v>156306.97</v>
      </c>
      <c r="D169" s="10" t="str">
        <f>HYPERLINK("http://www.usrc.it/AppRendiConta/det_283_20170502.pdf","DETERMINA N. 283 DEL 02/05/2017")</f>
        <v>DETERMINA N. 283 DEL 02/05/2017</v>
      </c>
      <c r="E169" s="5" t="s">
        <v>350</v>
      </c>
      <c r="F169" s="5" t="s">
        <v>12</v>
      </c>
      <c r="G169" s="5" t="s">
        <v>24</v>
      </c>
      <c r="H169" s="9"/>
      <c r="I169" s="9"/>
      <c r="J169" s="9"/>
      <c r="K169" s="9"/>
      <c r="L169" s="9"/>
      <c r="M169" s="9"/>
      <c r="N169" s="9"/>
      <c r="O169" s="9"/>
      <c r="P169" s="9"/>
    </row>
    <row r="170" ht="30.0" customHeight="1">
      <c r="A170" s="4" t="s">
        <v>316</v>
      </c>
      <c r="B170" s="5" t="s">
        <v>317</v>
      </c>
      <c r="C170" s="11">
        <v>4869104.9</v>
      </c>
      <c r="D170" s="10" t="str">
        <f>HYPERLINK("http://www.usrc.it/AppRendiConta/det_284_20170503.pdf","DETERMINA N. 284 DEL 03/05/2017")</f>
        <v>DETERMINA N. 284 DEL 03/05/2017</v>
      </c>
      <c r="E170" s="5" t="s">
        <v>351</v>
      </c>
      <c r="F170" s="5" t="s">
        <v>12</v>
      </c>
      <c r="G170" s="5" t="s">
        <v>352</v>
      </c>
      <c r="H170" s="9"/>
      <c r="I170" s="9"/>
      <c r="J170" s="9"/>
      <c r="K170" s="9"/>
      <c r="L170" s="9"/>
      <c r="M170" s="9"/>
      <c r="N170" s="9"/>
      <c r="O170" s="9"/>
      <c r="P170" s="9"/>
    </row>
    <row r="171" ht="30.0" customHeight="1">
      <c r="A171" s="4" t="s">
        <v>21</v>
      </c>
      <c r="B171" s="5" t="s">
        <v>22</v>
      </c>
      <c r="C171" s="11">
        <v>60000.0</v>
      </c>
      <c r="D171" s="10" t="str">
        <f>HYPERLINK("http://www.usrc.it/AppRendiConta/det_285_20170503.pdf","DETERMINA N. 285 DEL 03/05/2017")</f>
        <v>DETERMINA N. 285 DEL 03/05/2017</v>
      </c>
      <c r="E171" s="5" t="s">
        <v>353</v>
      </c>
      <c r="F171" s="5" t="s">
        <v>12</v>
      </c>
      <c r="G171" s="5" t="s">
        <v>206</v>
      </c>
      <c r="H171" s="9"/>
      <c r="I171" s="9"/>
      <c r="J171" s="9"/>
      <c r="K171" s="9"/>
      <c r="L171" s="9"/>
      <c r="M171" s="9"/>
      <c r="N171" s="9"/>
      <c r="O171" s="9"/>
      <c r="P171" s="9"/>
    </row>
    <row r="172" ht="30.0" customHeight="1">
      <c r="A172" s="4" t="s">
        <v>190</v>
      </c>
      <c r="B172" s="5" t="s">
        <v>191</v>
      </c>
      <c r="C172" s="11">
        <v>275419.65</v>
      </c>
      <c r="D172" s="10" t="str">
        <f>HYPERLINK("http://www.usrc.it/AppRendiConta/det_286_20170503.pdf","DETERMINA N. 286 DEL 03/05/2017")</f>
        <v>DETERMINA N. 286 DEL 03/05/2017</v>
      </c>
      <c r="E172" s="5" t="s">
        <v>354</v>
      </c>
      <c r="F172" s="5" t="s">
        <v>12</v>
      </c>
      <c r="G172" s="5" t="s">
        <v>24</v>
      </c>
      <c r="H172" s="9"/>
      <c r="I172" s="9"/>
      <c r="J172" s="9"/>
      <c r="K172" s="9"/>
      <c r="L172" s="9"/>
      <c r="M172" s="9"/>
      <c r="N172" s="9"/>
      <c r="O172" s="9"/>
      <c r="P172" s="9"/>
    </row>
    <row r="173" ht="30.0" customHeight="1">
      <c r="A173" s="4" t="s">
        <v>21</v>
      </c>
      <c r="B173" s="5" t="s">
        <v>22</v>
      </c>
      <c r="C173" s="11">
        <v>60000.0</v>
      </c>
      <c r="D173" s="10" t="str">
        <f>HYPERLINK("http://www.usrc.it/AppRendiConta/det_289_20170503.pdf","DETERMINA N. 289 DEL 03/05/2017")</f>
        <v>DETERMINA N. 289 DEL 03/05/2017</v>
      </c>
      <c r="E173" s="5" t="s">
        <v>355</v>
      </c>
      <c r="F173" s="5" t="s">
        <v>12</v>
      </c>
      <c r="G173" s="5" t="s">
        <v>24</v>
      </c>
      <c r="H173" s="9"/>
      <c r="I173" s="9"/>
      <c r="J173" s="9"/>
      <c r="K173" s="9"/>
      <c r="L173" s="9"/>
      <c r="M173" s="9"/>
      <c r="N173" s="9"/>
      <c r="O173" s="9"/>
      <c r="P173" s="9"/>
    </row>
    <row r="174" ht="30.0" customHeight="1">
      <c r="A174" s="4" t="s">
        <v>155</v>
      </c>
      <c r="B174" s="5" t="s">
        <v>156</v>
      </c>
      <c r="C174" s="11">
        <v>679966.91</v>
      </c>
      <c r="D174" s="10" t="str">
        <f>HYPERLINK("http://www.usrc.it/AppRendiConta/det_290_20170504.pdf","DETERMINA N. 290 DEL 04/05/2017")</f>
        <v>DETERMINA N. 290 DEL 04/05/2017</v>
      </c>
      <c r="E174" s="5" t="s">
        <v>356</v>
      </c>
      <c r="F174" s="5" t="s">
        <v>12</v>
      </c>
      <c r="G174" s="5" t="s">
        <v>13</v>
      </c>
      <c r="H174" s="9"/>
      <c r="I174" s="9"/>
      <c r="J174" s="9"/>
      <c r="K174" s="9"/>
      <c r="L174" s="9"/>
      <c r="M174" s="9"/>
      <c r="N174" s="9"/>
      <c r="O174" s="9"/>
      <c r="P174" s="9"/>
    </row>
    <row r="175" ht="30.0" customHeight="1">
      <c r="A175" s="4" t="s">
        <v>357</v>
      </c>
      <c r="B175" s="5" t="s">
        <v>358</v>
      </c>
      <c r="C175" s="11">
        <v>2870.61</v>
      </c>
      <c r="D175" s="10" t="str">
        <f>HYPERLINK("http://www.usrc.it/AppRendiConta/det_295_20170509.pdf","DETERMINA N. 295 DEL 09/05/2017")</f>
        <v>DETERMINA N. 295 DEL 09/05/2017</v>
      </c>
      <c r="E175" s="5" t="s">
        <v>359</v>
      </c>
      <c r="F175" s="5" t="s">
        <v>12</v>
      </c>
      <c r="G175" s="5" t="s">
        <v>13</v>
      </c>
      <c r="H175" s="9"/>
      <c r="I175" s="9"/>
      <c r="J175" s="9"/>
      <c r="K175" s="9"/>
      <c r="L175" s="9"/>
      <c r="M175" s="9"/>
      <c r="N175" s="9"/>
      <c r="O175" s="9"/>
      <c r="P175" s="9"/>
    </row>
    <row r="176" ht="30.0" customHeight="1">
      <c r="A176" s="4" t="s">
        <v>293</v>
      </c>
      <c r="B176" s="5" t="s">
        <v>294</v>
      </c>
      <c r="C176" s="11">
        <v>1140191.06</v>
      </c>
      <c r="D176" s="10" t="str">
        <f>HYPERLINK("http://www.usrc.it/AppRendiConta/det_296_20170509.pdf","DETERMINA N. 296 DEL 09/05/2017")</f>
        <v>DETERMINA N. 296 DEL 09/05/2017</v>
      </c>
      <c r="E176" s="5" t="s">
        <v>360</v>
      </c>
      <c r="F176" s="5" t="s">
        <v>12</v>
      </c>
      <c r="G176" s="5" t="s">
        <v>361</v>
      </c>
      <c r="H176" s="9"/>
      <c r="I176" s="9"/>
      <c r="J176" s="9"/>
      <c r="K176" s="9"/>
      <c r="L176" s="9"/>
      <c r="M176" s="9"/>
      <c r="N176" s="9"/>
      <c r="O176" s="9"/>
      <c r="P176" s="9"/>
    </row>
    <row r="177" ht="30.0" customHeight="1">
      <c r="A177" s="4" t="s">
        <v>99</v>
      </c>
      <c r="B177" s="5" t="s">
        <v>100</v>
      </c>
      <c r="C177" s="11">
        <v>125912.81</v>
      </c>
      <c r="D177" s="10" t="str">
        <f>HYPERLINK("http://www.usrc.it/AppRendiConta/det_299_20170509.pdf","DETERMINA N. 299 DEL 09/05/2017")</f>
        <v>DETERMINA N. 299 DEL 09/05/2017</v>
      </c>
      <c r="E177" s="8" t="s">
        <v>362</v>
      </c>
      <c r="F177" s="8" t="s">
        <v>12</v>
      </c>
      <c r="G177" s="8" t="s">
        <v>13</v>
      </c>
      <c r="H177" s="9"/>
      <c r="I177" s="9"/>
      <c r="J177" s="9"/>
      <c r="K177" s="9"/>
      <c r="L177" s="9"/>
      <c r="M177" s="9"/>
      <c r="N177" s="9"/>
      <c r="O177" s="9"/>
      <c r="P177" s="9"/>
    </row>
    <row r="178" ht="30.0" customHeight="1">
      <c r="A178" s="4" t="s">
        <v>363</v>
      </c>
      <c r="B178" s="5" t="s">
        <v>364</v>
      </c>
      <c r="C178" s="11">
        <v>101316.33</v>
      </c>
      <c r="D178" s="10" t="str">
        <f>HYPERLINK("http://www.usrc.it/AppRendiConta/det_305_20170511.pdf","DETERMINA N. 305 DEL 11/05/2017")</f>
        <v>DETERMINA N. 305 DEL 11/05/2017</v>
      </c>
      <c r="E178" s="8" t="s">
        <v>365</v>
      </c>
      <c r="F178" s="8" t="s">
        <v>12</v>
      </c>
      <c r="G178" s="8" t="s">
        <v>366</v>
      </c>
      <c r="H178" s="9"/>
      <c r="I178" s="9"/>
      <c r="J178" s="9"/>
      <c r="K178" s="9"/>
      <c r="L178" s="9"/>
      <c r="M178" s="9"/>
      <c r="N178" s="9"/>
      <c r="O178" s="9"/>
      <c r="P178" s="9"/>
    </row>
    <row r="179" ht="30.0" customHeight="1">
      <c r="A179" s="4" t="s">
        <v>367</v>
      </c>
      <c r="B179" s="5" t="s">
        <v>368</v>
      </c>
      <c r="C179" s="11">
        <v>1709366.75</v>
      </c>
      <c r="D179" s="10" t="str">
        <f>HYPERLINK("http://www.usrc.it/AppRendiConta/det_306_20170512.pdf","DETERMINA N. 306 DEL 12/05/2017")</f>
        <v>DETERMINA N. 306 DEL 12/05/2017</v>
      </c>
      <c r="E179" s="8" t="s">
        <v>369</v>
      </c>
      <c r="F179" s="8" t="s">
        <v>12</v>
      </c>
      <c r="G179" s="8" t="s">
        <v>62</v>
      </c>
      <c r="H179" s="9"/>
      <c r="I179" s="9"/>
      <c r="J179" s="9"/>
      <c r="K179" s="9"/>
      <c r="L179" s="9"/>
      <c r="M179" s="9"/>
      <c r="N179" s="9"/>
      <c r="O179" s="9"/>
      <c r="P179" s="9"/>
    </row>
    <row r="180" ht="30.0" customHeight="1">
      <c r="A180" s="4" t="s">
        <v>108</v>
      </c>
      <c r="B180" s="5" t="s">
        <v>109</v>
      </c>
      <c r="C180" s="11">
        <v>4771033.65</v>
      </c>
      <c r="D180" s="10" t="str">
        <f>HYPERLINK("http://www.usrc.it/AppRendiConta/det_307_20170512.pdf","DETERMINA N. 307 DEL 12/05/2017")</f>
        <v>DETERMINA N. 307 DEL 12/05/2017</v>
      </c>
      <c r="E180" s="8" t="s">
        <v>370</v>
      </c>
      <c r="F180" s="8" t="s">
        <v>12</v>
      </c>
      <c r="G180" s="8" t="s">
        <v>371</v>
      </c>
      <c r="H180" s="9"/>
      <c r="I180" s="9"/>
      <c r="J180" s="9"/>
      <c r="K180" s="9"/>
      <c r="L180" s="9"/>
      <c r="M180" s="9"/>
      <c r="N180" s="9"/>
      <c r="O180" s="9"/>
      <c r="P180" s="9"/>
    </row>
    <row r="181" ht="30.0" customHeight="1">
      <c r="A181" s="4" t="s">
        <v>172</v>
      </c>
      <c r="B181" s="8" t="s">
        <v>173</v>
      </c>
      <c r="C181" s="11">
        <v>3149829.52</v>
      </c>
      <c r="D181" s="10" t="str">
        <f>HYPERLINK("http://www.usrc.it/AppRendiConta/det_308_20170512.pdf","DETERMINA N. 308 DEL 12/05/2017")</f>
        <v>DETERMINA N. 308 DEL 12/05/2017</v>
      </c>
      <c r="E181" s="8" t="s">
        <v>372</v>
      </c>
      <c r="F181" s="8" t="s">
        <v>12</v>
      </c>
      <c r="G181" s="8" t="s">
        <v>373</v>
      </c>
      <c r="H181" s="9"/>
      <c r="I181" s="9"/>
      <c r="J181" s="9"/>
      <c r="K181" s="9"/>
      <c r="L181" s="9"/>
      <c r="M181" s="9"/>
      <c r="N181" s="9"/>
      <c r="O181" s="9"/>
      <c r="P181" s="9"/>
    </row>
    <row r="182" ht="30.0" customHeight="1">
      <c r="A182" s="4" t="s">
        <v>120</v>
      </c>
      <c r="B182" s="5" t="s">
        <v>121</v>
      </c>
      <c r="C182" s="11">
        <v>1608461.51</v>
      </c>
      <c r="D182" s="10" t="str">
        <f>HYPERLINK("http://www.usrc.it/AppRendiConta/det_309_20170512.pdf","DETERMINA N. 309 DEL 12/05/2017")</f>
        <v>DETERMINA N. 309 DEL 12/05/2017</v>
      </c>
      <c r="E182" s="8" t="s">
        <v>374</v>
      </c>
      <c r="F182" s="8" t="s">
        <v>12</v>
      </c>
      <c r="G182" s="8" t="s">
        <v>62</v>
      </c>
      <c r="H182" s="9"/>
      <c r="I182" s="9"/>
      <c r="J182" s="9"/>
      <c r="K182" s="9"/>
      <c r="L182" s="9"/>
      <c r="M182" s="9"/>
      <c r="N182" s="9"/>
      <c r="O182" s="9"/>
      <c r="P182" s="9"/>
    </row>
    <row r="183" ht="30.0" customHeight="1">
      <c r="A183" s="4" t="s">
        <v>159</v>
      </c>
      <c r="B183" s="5" t="s">
        <v>160</v>
      </c>
      <c r="C183" s="11">
        <v>20400.0</v>
      </c>
      <c r="D183" s="10" t="str">
        <f t="shared" ref="D183:D194" si="10">HYPERLINK("http://www.usrc.it/AppRendiConta/det_310_20170515.pdf","DETERMINA N. 310 DEL 15/05/2017")</f>
        <v>DETERMINA N. 310 DEL 15/05/2017</v>
      </c>
      <c r="E183" s="8" t="s">
        <v>375</v>
      </c>
      <c r="F183" s="8" t="s">
        <v>12</v>
      </c>
      <c r="G183" s="8" t="s">
        <v>376</v>
      </c>
      <c r="H183" s="9"/>
      <c r="I183" s="9"/>
      <c r="J183" s="9"/>
      <c r="K183" s="9"/>
      <c r="L183" s="9"/>
      <c r="M183" s="9"/>
      <c r="N183" s="9"/>
      <c r="O183" s="9"/>
      <c r="P183" s="9"/>
    </row>
    <row r="184" ht="30.0" customHeight="1">
      <c r="A184" s="4" t="s">
        <v>103</v>
      </c>
      <c r="B184" s="5" t="s">
        <v>104</v>
      </c>
      <c r="C184" s="11">
        <v>9600.0</v>
      </c>
      <c r="D184" s="10" t="str">
        <f t="shared" si="10"/>
        <v>DETERMINA N. 310 DEL 15/05/2017</v>
      </c>
      <c r="E184" s="8" t="s">
        <v>377</v>
      </c>
      <c r="F184" s="8" t="s">
        <v>12</v>
      </c>
      <c r="G184" s="8" t="s">
        <v>376</v>
      </c>
      <c r="H184" s="9"/>
      <c r="I184" s="9"/>
      <c r="J184" s="9"/>
      <c r="K184" s="9"/>
      <c r="L184" s="9"/>
      <c r="M184" s="9"/>
      <c r="N184" s="9"/>
      <c r="O184" s="9"/>
      <c r="P184" s="9"/>
    </row>
    <row r="185" ht="30.0" customHeight="1">
      <c r="A185" s="4" t="s">
        <v>18</v>
      </c>
      <c r="B185" s="5" t="s">
        <v>19</v>
      </c>
      <c r="C185" s="11">
        <v>51600.0</v>
      </c>
      <c r="D185" s="10" t="str">
        <f t="shared" si="10"/>
        <v>DETERMINA N. 310 DEL 15/05/2017</v>
      </c>
      <c r="E185" s="8" t="s">
        <v>378</v>
      </c>
      <c r="F185" s="8" t="s">
        <v>12</v>
      </c>
      <c r="G185" s="8" t="s">
        <v>376</v>
      </c>
      <c r="H185" s="9"/>
      <c r="I185" s="9"/>
      <c r="J185" s="9"/>
      <c r="K185" s="9"/>
      <c r="L185" s="9"/>
      <c r="M185" s="9"/>
      <c r="N185" s="9"/>
      <c r="O185" s="9"/>
      <c r="P185" s="9"/>
    </row>
    <row r="186" ht="30.0" customHeight="1">
      <c r="A186" s="4" t="s">
        <v>108</v>
      </c>
      <c r="B186" s="5" t="s">
        <v>109</v>
      </c>
      <c r="C186" s="11">
        <v>5900.0</v>
      </c>
      <c r="D186" s="10" t="str">
        <f t="shared" si="10"/>
        <v>DETERMINA N. 310 DEL 15/05/2017</v>
      </c>
      <c r="E186" s="8" t="s">
        <v>379</v>
      </c>
      <c r="F186" s="8" t="s">
        <v>12</v>
      </c>
      <c r="G186" s="8" t="s">
        <v>376</v>
      </c>
      <c r="H186" s="9"/>
      <c r="I186" s="9"/>
      <c r="J186" s="9"/>
      <c r="K186" s="9"/>
      <c r="L186" s="9"/>
      <c r="M186" s="9"/>
      <c r="N186" s="9"/>
      <c r="O186" s="9"/>
      <c r="P186" s="9"/>
    </row>
    <row r="187" ht="30.0" customHeight="1">
      <c r="A187" s="4" t="s">
        <v>256</v>
      </c>
      <c r="B187" s="5" t="s">
        <v>257</v>
      </c>
      <c r="C187" s="11">
        <v>5600.0</v>
      </c>
      <c r="D187" s="10" t="str">
        <f t="shared" si="10"/>
        <v>DETERMINA N. 310 DEL 15/05/2017</v>
      </c>
      <c r="E187" s="8" t="s">
        <v>380</v>
      </c>
      <c r="F187" s="8" t="s">
        <v>12</v>
      </c>
      <c r="G187" s="8" t="s">
        <v>376</v>
      </c>
      <c r="H187" s="9"/>
      <c r="I187" s="9"/>
      <c r="J187" s="9"/>
      <c r="K187" s="9"/>
      <c r="L187" s="9"/>
      <c r="M187" s="9"/>
      <c r="N187" s="9"/>
      <c r="O187" s="9"/>
      <c r="P187" s="9"/>
    </row>
    <row r="188" ht="30.0" customHeight="1">
      <c r="A188" s="4" t="s">
        <v>113</v>
      </c>
      <c r="B188" s="5" t="s">
        <v>114</v>
      </c>
      <c r="C188" s="11">
        <v>15612.24</v>
      </c>
      <c r="D188" s="10" t="str">
        <f t="shared" si="10"/>
        <v>DETERMINA N. 310 DEL 15/05/2017</v>
      </c>
      <c r="E188" s="8" t="s">
        <v>381</v>
      </c>
      <c r="F188" s="8" t="s">
        <v>12</v>
      </c>
      <c r="G188" s="8" t="s">
        <v>376</v>
      </c>
      <c r="H188" s="9"/>
      <c r="I188" s="9"/>
      <c r="J188" s="9"/>
      <c r="K188" s="9"/>
      <c r="L188" s="9"/>
      <c r="M188" s="9"/>
      <c r="N188" s="9"/>
      <c r="O188" s="9"/>
      <c r="P188" s="9"/>
    </row>
    <row r="189" ht="30.0" customHeight="1">
      <c r="A189" s="4" t="s">
        <v>382</v>
      </c>
      <c r="B189" s="5" t="s">
        <v>383</v>
      </c>
      <c r="C189" s="11">
        <v>15309.68</v>
      </c>
      <c r="D189" s="10" t="str">
        <f t="shared" si="10"/>
        <v>DETERMINA N. 310 DEL 15/05/2017</v>
      </c>
      <c r="E189" s="8" t="s">
        <v>384</v>
      </c>
      <c r="F189" s="8" t="s">
        <v>12</v>
      </c>
      <c r="G189" s="8" t="s">
        <v>376</v>
      </c>
      <c r="H189" s="9"/>
      <c r="I189" s="9"/>
      <c r="J189" s="9"/>
      <c r="K189" s="9"/>
      <c r="L189" s="9"/>
      <c r="M189" s="9"/>
      <c r="N189" s="9"/>
      <c r="O189" s="9"/>
      <c r="P189" s="9"/>
    </row>
    <row r="190" ht="30.0" customHeight="1">
      <c r="A190" s="4" t="s">
        <v>117</v>
      </c>
      <c r="B190" s="5" t="s">
        <v>118</v>
      </c>
      <c r="C190" s="11">
        <v>2671.43</v>
      </c>
      <c r="D190" s="10" t="str">
        <f t="shared" si="10"/>
        <v>DETERMINA N. 310 DEL 15/05/2017</v>
      </c>
      <c r="E190" s="8" t="s">
        <v>385</v>
      </c>
      <c r="F190" s="8" t="s">
        <v>12</v>
      </c>
      <c r="G190" s="8" t="s">
        <v>386</v>
      </c>
      <c r="H190" s="9"/>
      <c r="I190" s="9"/>
      <c r="J190" s="9"/>
      <c r="K190" s="9"/>
      <c r="L190" s="9"/>
      <c r="M190" s="9"/>
      <c r="N190" s="9"/>
      <c r="O190" s="9"/>
      <c r="P190" s="9"/>
    </row>
    <row r="191" ht="30.0" customHeight="1">
      <c r="A191" s="4" t="s">
        <v>93</v>
      </c>
      <c r="B191" s="5" t="s">
        <v>94</v>
      </c>
      <c r="C191" s="11">
        <v>1435.48</v>
      </c>
      <c r="D191" s="10" t="str">
        <f t="shared" si="10"/>
        <v>DETERMINA N. 310 DEL 15/05/2017</v>
      </c>
      <c r="E191" s="8" t="s">
        <v>387</v>
      </c>
      <c r="F191" s="8" t="s">
        <v>12</v>
      </c>
      <c r="G191" s="8" t="s">
        <v>376</v>
      </c>
      <c r="H191" s="9"/>
      <c r="I191" s="9"/>
      <c r="J191" s="9"/>
      <c r="K191" s="9"/>
      <c r="L191" s="9"/>
      <c r="M191" s="9"/>
      <c r="N191" s="9"/>
      <c r="O191" s="9"/>
      <c r="P191" s="9"/>
    </row>
    <row r="192" ht="30.0" customHeight="1">
      <c r="A192" s="4" t="s">
        <v>120</v>
      </c>
      <c r="B192" s="5" t="s">
        <v>121</v>
      </c>
      <c r="C192" s="11">
        <v>55500.0</v>
      </c>
      <c r="D192" s="10" t="str">
        <f t="shared" si="10"/>
        <v>DETERMINA N. 310 DEL 15/05/2017</v>
      </c>
      <c r="E192" s="8" t="s">
        <v>388</v>
      </c>
      <c r="F192" s="8" t="s">
        <v>12</v>
      </c>
      <c r="G192" s="8" t="s">
        <v>376</v>
      </c>
      <c r="H192" s="9"/>
      <c r="I192" s="9"/>
      <c r="J192" s="9"/>
      <c r="K192" s="9"/>
      <c r="L192" s="9"/>
      <c r="M192" s="9"/>
      <c r="N192" s="9"/>
      <c r="O192" s="9"/>
      <c r="P192" s="9"/>
    </row>
    <row r="193" ht="30.0" customHeight="1">
      <c r="A193" s="4" t="s">
        <v>276</v>
      </c>
      <c r="B193" s="5" t="s">
        <v>277</v>
      </c>
      <c r="C193" s="11">
        <v>12600.0</v>
      </c>
      <c r="D193" s="10" t="str">
        <f t="shared" si="10"/>
        <v>DETERMINA N. 310 DEL 15/05/2017</v>
      </c>
      <c r="E193" s="8" t="s">
        <v>389</v>
      </c>
      <c r="F193" s="8" t="s">
        <v>12</v>
      </c>
      <c r="G193" s="8" t="s">
        <v>376</v>
      </c>
      <c r="H193" s="9"/>
      <c r="I193" s="9"/>
      <c r="J193" s="9"/>
      <c r="K193" s="9"/>
      <c r="L193" s="9"/>
      <c r="M193" s="9"/>
      <c r="N193" s="9"/>
      <c r="O193" s="9"/>
      <c r="P193" s="9"/>
    </row>
    <row r="194" ht="30.0" customHeight="1">
      <c r="A194" s="4" t="s">
        <v>32</v>
      </c>
      <c r="B194" s="8" t="s">
        <v>33</v>
      </c>
      <c r="C194" s="11">
        <v>2800.0</v>
      </c>
      <c r="D194" s="10" t="str">
        <f t="shared" si="10"/>
        <v>DETERMINA N. 310 DEL 15/05/2017</v>
      </c>
      <c r="E194" s="8" t="s">
        <v>390</v>
      </c>
      <c r="F194" s="8" t="s">
        <v>12</v>
      </c>
      <c r="G194" s="8" t="s">
        <v>376</v>
      </c>
      <c r="H194" s="9"/>
      <c r="I194" s="9"/>
      <c r="J194" s="9"/>
      <c r="K194" s="9"/>
      <c r="L194" s="9"/>
      <c r="M194" s="9"/>
      <c r="N194" s="9"/>
      <c r="O194" s="9"/>
      <c r="P194" s="9"/>
    </row>
    <row r="195" ht="30.0" customHeight="1">
      <c r="A195" s="4" t="s">
        <v>201</v>
      </c>
      <c r="B195" s="5" t="s">
        <v>202</v>
      </c>
      <c r="C195" s="11">
        <v>20484.0</v>
      </c>
      <c r="D195" s="10" t="str">
        <f t="shared" ref="D195:D197" si="11">HYPERLINK("http://www.usrc.it/AppRendiConta/det_311_20170515.pdf","DETERMINA N. 311 DEL 15/05/2017")</f>
        <v>DETERMINA N. 311 DEL 15/05/2017</v>
      </c>
      <c r="E195" s="8" t="s">
        <v>391</v>
      </c>
      <c r="F195" s="8" t="s">
        <v>12</v>
      </c>
      <c r="G195" s="8" t="s">
        <v>376</v>
      </c>
      <c r="H195" s="9"/>
      <c r="I195" s="9"/>
      <c r="J195" s="9"/>
      <c r="K195" s="9"/>
      <c r="L195" s="9"/>
      <c r="M195" s="9"/>
      <c r="N195" s="9"/>
      <c r="O195" s="9"/>
      <c r="P195" s="9"/>
    </row>
    <row r="196" ht="30.0" customHeight="1">
      <c r="A196" s="4" t="s">
        <v>299</v>
      </c>
      <c r="B196" s="5" t="s">
        <v>300</v>
      </c>
      <c r="C196" s="11">
        <v>8400.0</v>
      </c>
      <c r="D196" s="10" t="str">
        <f t="shared" si="11"/>
        <v>DETERMINA N. 311 DEL 15/05/2017</v>
      </c>
      <c r="E196" s="8" t="s">
        <v>280</v>
      </c>
      <c r="F196" s="8" t="s">
        <v>12</v>
      </c>
      <c r="G196" s="8" t="s">
        <v>376</v>
      </c>
      <c r="H196" s="9"/>
      <c r="I196" s="9"/>
      <c r="J196" s="9"/>
      <c r="K196" s="9"/>
      <c r="L196" s="9"/>
      <c r="M196" s="9"/>
      <c r="N196" s="9"/>
      <c r="O196" s="9"/>
      <c r="P196" s="9"/>
    </row>
    <row r="197" ht="30.0" customHeight="1">
      <c r="A197" s="4" t="s">
        <v>128</v>
      </c>
      <c r="B197" s="5" t="s">
        <v>129</v>
      </c>
      <c r="C197" s="11">
        <v>13500.0</v>
      </c>
      <c r="D197" s="10" t="str">
        <f t="shared" si="11"/>
        <v>DETERMINA N. 311 DEL 15/05/2017</v>
      </c>
      <c r="E197" s="8" t="s">
        <v>392</v>
      </c>
      <c r="F197" s="8" t="s">
        <v>12</v>
      </c>
      <c r="G197" s="8" t="s">
        <v>376</v>
      </c>
      <c r="H197" s="9"/>
      <c r="I197" s="9"/>
      <c r="J197" s="9"/>
      <c r="K197" s="9"/>
      <c r="L197" s="9"/>
      <c r="M197" s="9"/>
      <c r="N197" s="9"/>
      <c r="O197" s="9"/>
      <c r="P197" s="9"/>
    </row>
    <row r="198" ht="30.0" customHeight="1">
      <c r="A198" s="4" t="s">
        <v>25</v>
      </c>
      <c r="B198" s="5" t="s">
        <v>26</v>
      </c>
      <c r="C198" s="11">
        <v>156671.47</v>
      </c>
      <c r="D198" s="10" t="str">
        <f>HYPERLINK("http://www.usrc.it/AppRendiConta/det_320_20170515.pdf","DETERMINA N. 320 DEL 15/05/2017")</f>
        <v>DETERMINA N. 320 DEL 15/05/2017</v>
      </c>
      <c r="E198" s="8" t="s">
        <v>393</v>
      </c>
      <c r="F198" s="8" t="s">
        <v>12</v>
      </c>
      <c r="G198" s="8" t="s">
        <v>366</v>
      </c>
      <c r="H198" s="9"/>
      <c r="I198" s="9"/>
      <c r="J198" s="9"/>
      <c r="K198" s="9"/>
      <c r="L198" s="9"/>
      <c r="M198" s="9"/>
      <c r="N198" s="9"/>
      <c r="O198" s="9"/>
      <c r="P198" s="9"/>
    </row>
    <row r="199" ht="30.0" customHeight="1">
      <c r="A199" s="4" t="s">
        <v>76</v>
      </c>
      <c r="B199" s="5" t="s">
        <v>77</v>
      </c>
      <c r="C199" s="11">
        <v>1033444.12</v>
      </c>
      <c r="D199" s="10" t="str">
        <f>HYPERLINK("http://www.usrc.it/AppRendiConta/det_325_20170518.pdf","DETERMINA N. 325 DEL 18/05/2017")</f>
        <v>DETERMINA N. 325 DEL 18/05/2017</v>
      </c>
      <c r="E199" s="8" t="s">
        <v>394</v>
      </c>
      <c r="F199" s="8" t="s">
        <v>12</v>
      </c>
      <c r="G199" s="8" t="s">
        <v>62</v>
      </c>
      <c r="H199" s="9"/>
      <c r="I199" s="9"/>
      <c r="J199" s="9"/>
      <c r="K199" s="9"/>
      <c r="L199" s="9"/>
      <c r="M199" s="9"/>
      <c r="N199" s="9"/>
      <c r="O199" s="9"/>
      <c r="P199" s="9"/>
    </row>
    <row r="200" ht="30.0" customHeight="1">
      <c r="A200" s="4" t="s">
        <v>93</v>
      </c>
      <c r="B200" s="5" t="s">
        <v>94</v>
      </c>
      <c r="C200" s="11">
        <v>124808.12</v>
      </c>
      <c r="D200" s="10" t="str">
        <f>HYPERLINK("http://www.usrc.it/AppRendiConta/det_333_20170522.pdf","DETERMINA N. 333 DEL 22/05/2017")</f>
        <v>DETERMINA N. 333 DEL 22/05/2017</v>
      </c>
      <c r="E200" s="8" t="s">
        <v>395</v>
      </c>
      <c r="F200" s="8" t="s">
        <v>12</v>
      </c>
      <c r="G200" s="8" t="s">
        <v>24</v>
      </c>
      <c r="H200" s="9"/>
      <c r="I200" s="9"/>
      <c r="J200" s="9"/>
      <c r="K200" s="9"/>
      <c r="L200" s="9"/>
      <c r="M200" s="9"/>
      <c r="N200" s="9"/>
      <c r="O200" s="9"/>
      <c r="P200" s="9"/>
    </row>
    <row r="201" ht="30.0" customHeight="1">
      <c r="A201" s="4" t="s">
        <v>32</v>
      </c>
      <c r="B201" s="5" t="s">
        <v>33</v>
      </c>
      <c r="C201" s="11">
        <v>4921.4</v>
      </c>
      <c r="D201" s="10" t="str">
        <f>HYPERLINK("http://www.usrc.it/AppRendiConta/det_334_20170522.pdf","DETERMINA N. 334 DEL 22/05/2017")</f>
        <v>DETERMINA N. 334 DEL 22/05/2017</v>
      </c>
      <c r="E201" s="5" t="s">
        <v>396</v>
      </c>
      <c r="F201" s="5" t="s">
        <v>12</v>
      </c>
      <c r="G201" s="5" t="s">
        <v>366</v>
      </c>
      <c r="H201" s="9"/>
      <c r="I201" s="9"/>
      <c r="J201" s="9"/>
      <c r="K201" s="9"/>
      <c r="L201" s="9"/>
      <c r="M201" s="9"/>
      <c r="N201" s="9"/>
      <c r="O201" s="9"/>
      <c r="P201" s="9"/>
    </row>
    <row r="202" ht="30.0" customHeight="1">
      <c r="A202" s="4" t="s">
        <v>334</v>
      </c>
      <c r="B202" s="5" t="s">
        <v>335</v>
      </c>
      <c r="C202" s="11">
        <v>297543.9</v>
      </c>
      <c r="D202" s="10" t="str">
        <f>HYPERLINK("http://www.usrc.it/AppRendiConta/det_335_20170522.pdf","DETERMINA N. 335 DEL 22/05/2017")</f>
        <v>DETERMINA N. 335 DEL 22/05/2017</v>
      </c>
      <c r="E202" s="5" t="s">
        <v>397</v>
      </c>
      <c r="F202" s="5" t="s">
        <v>12</v>
      </c>
      <c r="G202" s="5" t="s">
        <v>24</v>
      </c>
      <c r="H202" s="9"/>
      <c r="I202" s="9"/>
      <c r="J202" s="9"/>
      <c r="K202" s="9"/>
      <c r="L202" s="9"/>
      <c r="M202" s="9"/>
      <c r="N202" s="9"/>
      <c r="O202" s="9"/>
      <c r="P202" s="9"/>
    </row>
    <row r="203" ht="30.0" customHeight="1">
      <c r="A203" s="4" t="s">
        <v>103</v>
      </c>
      <c r="B203" s="5" t="s">
        <v>104</v>
      </c>
      <c r="C203" s="11">
        <v>7730.64</v>
      </c>
      <c r="D203" s="10" t="str">
        <f>HYPERLINK("http://www.usrc.it/AppRendiConta/det_336_20170522.pdf","DETERMINA N. 336 DEL 22/05/2017")</f>
        <v>DETERMINA N. 336 DEL 22/05/2017</v>
      </c>
      <c r="E203" s="5" t="s">
        <v>398</v>
      </c>
      <c r="F203" s="5" t="s">
        <v>12</v>
      </c>
      <c r="G203" s="5" t="s">
        <v>399</v>
      </c>
      <c r="H203" s="9"/>
      <c r="I203" s="9"/>
      <c r="J203" s="9"/>
      <c r="K203" s="9"/>
      <c r="L203" s="9"/>
      <c r="M203" s="9"/>
      <c r="N203" s="9"/>
      <c r="O203" s="9"/>
      <c r="P203" s="9"/>
    </row>
    <row r="204" ht="30.0" customHeight="1">
      <c r="A204" s="4" t="s">
        <v>193</v>
      </c>
      <c r="B204" s="5" t="s">
        <v>194</v>
      </c>
      <c r="C204" s="11">
        <v>213554.0</v>
      </c>
      <c r="D204" s="10" t="str">
        <f>HYPERLINK("http://www.usrc.it/AppRendiConta/det_337_20170522.pdf","DETERMINA N. 337 DEL 22/05/2017")</f>
        <v>DETERMINA N. 337 DEL 22/05/2017</v>
      </c>
      <c r="E204" s="5" t="s">
        <v>400</v>
      </c>
      <c r="F204" s="5" t="s">
        <v>12</v>
      </c>
      <c r="G204" s="5" t="s">
        <v>24</v>
      </c>
      <c r="H204" s="9"/>
      <c r="I204" s="9"/>
      <c r="J204" s="9"/>
      <c r="K204" s="9"/>
      <c r="L204" s="9"/>
      <c r="M204" s="9"/>
      <c r="N204" s="9"/>
      <c r="O204" s="9"/>
      <c r="P204" s="9"/>
    </row>
    <row r="205" ht="30.0" customHeight="1">
      <c r="A205" s="4" t="s">
        <v>210</v>
      </c>
      <c r="B205" s="5" t="s">
        <v>211</v>
      </c>
      <c r="C205" s="11">
        <v>257702.5</v>
      </c>
      <c r="D205" s="10" t="str">
        <f>HYPERLINK("http://www.usrc.it/AppRendiConta/det_338_20170522.pdf","DETERMINA N. 338 DEL 22/05/2017")</f>
        <v>DETERMINA N. 338 DEL 22/05/2017</v>
      </c>
      <c r="E205" s="5" t="s">
        <v>401</v>
      </c>
      <c r="F205" s="5" t="s">
        <v>12</v>
      </c>
      <c r="G205" s="5" t="s">
        <v>399</v>
      </c>
      <c r="H205" s="9"/>
      <c r="I205" s="9"/>
      <c r="J205" s="9"/>
      <c r="K205" s="9"/>
      <c r="L205" s="9"/>
      <c r="M205" s="9"/>
      <c r="N205" s="9"/>
      <c r="O205" s="9"/>
      <c r="P205" s="9"/>
    </row>
    <row r="206" ht="30.0" customHeight="1">
      <c r="A206" s="4" t="s">
        <v>103</v>
      </c>
      <c r="B206" s="5" t="s">
        <v>104</v>
      </c>
      <c r="C206" s="11">
        <v>2896.11</v>
      </c>
      <c r="D206" s="10" t="str">
        <f>HYPERLINK("http://www.usrc.it/AppRendiConta/det_339_20170522.pdf","DETERMINA N. 339 DEL 22/05/2017")</f>
        <v>DETERMINA N. 339 DEL 22/05/2017</v>
      </c>
      <c r="E206" s="5" t="s">
        <v>402</v>
      </c>
      <c r="F206" s="5" t="s">
        <v>12</v>
      </c>
      <c r="G206" s="5" t="s">
        <v>206</v>
      </c>
      <c r="H206" s="9"/>
      <c r="I206" s="9"/>
      <c r="J206" s="9"/>
      <c r="K206" s="9"/>
      <c r="L206" s="9"/>
      <c r="M206" s="9"/>
      <c r="N206" s="9"/>
      <c r="O206" s="9"/>
      <c r="P206" s="9"/>
    </row>
    <row r="207" ht="30.0" customHeight="1">
      <c r="A207" s="4" t="s">
        <v>39</v>
      </c>
      <c r="B207" s="5" t="s">
        <v>40</v>
      </c>
      <c r="C207" s="11">
        <v>3792.36</v>
      </c>
      <c r="D207" s="10" t="str">
        <f>HYPERLINK("http://www.usrc.it/AppRendiConta/det_340_20170522.pdf","DETERMINA N. 340 DEL 22/05/2017")</f>
        <v>DETERMINA N. 340 DEL 22/05/2017</v>
      </c>
      <c r="E207" s="5" t="s">
        <v>403</v>
      </c>
      <c r="F207" s="5" t="s">
        <v>12</v>
      </c>
      <c r="G207" s="5" t="s">
        <v>24</v>
      </c>
      <c r="H207" s="9"/>
      <c r="I207" s="9"/>
      <c r="J207" s="9"/>
      <c r="K207" s="9"/>
      <c r="L207" s="9"/>
      <c r="M207" s="9"/>
      <c r="N207" s="9"/>
      <c r="O207" s="9"/>
      <c r="P207" s="9"/>
    </row>
    <row r="208" ht="30.0" customHeight="1">
      <c r="A208" s="4" t="s">
        <v>363</v>
      </c>
      <c r="B208" s="5" t="s">
        <v>364</v>
      </c>
      <c r="C208" s="11">
        <v>128092.09</v>
      </c>
      <c r="D208" s="10" t="str">
        <f>HYPERLINK("http://www.usrc.it/AppRendiConta/det_341_20170522.pdf","DETERMINA N. 341 DEL 22/05/2017")</f>
        <v>DETERMINA N. 341 DEL 22/05/2017</v>
      </c>
      <c r="E208" s="5" t="s">
        <v>365</v>
      </c>
      <c r="F208" s="5" t="s">
        <v>12</v>
      </c>
      <c r="G208" s="5" t="s">
        <v>366</v>
      </c>
      <c r="H208" s="9"/>
      <c r="I208" s="9"/>
      <c r="J208" s="9"/>
      <c r="K208" s="9"/>
      <c r="L208" s="9"/>
      <c r="M208" s="9"/>
      <c r="N208" s="9"/>
      <c r="O208" s="9"/>
      <c r="P208" s="9"/>
    </row>
    <row r="209" ht="30.0" customHeight="1">
      <c r="A209" s="4" t="s">
        <v>120</v>
      </c>
      <c r="B209" s="5" t="s">
        <v>121</v>
      </c>
      <c r="C209" s="11">
        <v>63632.7</v>
      </c>
      <c r="D209" s="10" t="str">
        <f>HYPERLINK("http://www.usrc.it/AppRendiConta/det_346_20170523.pdf","DETERMINA N. 346 DEL 23/05/2017")</f>
        <v>DETERMINA N. 346 DEL 23/05/2017</v>
      </c>
      <c r="E209" s="5" t="s">
        <v>404</v>
      </c>
      <c r="F209" s="5" t="s">
        <v>12</v>
      </c>
      <c r="G209" s="5" t="s">
        <v>206</v>
      </c>
      <c r="H209" s="9"/>
      <c r="I209" s="9"/>
      <c r="J209" s="9"/>
      <c r="K209" s="9"/>
      <c r="L209" s="9"/>
      <c r="M209" s="9"/>
      <c r="N209" s="9"/>
      <c r="O209" s="9"/>
      <c r="P209" s="9"/>
    </row>
    <row r="210" ht="30.0" customHeight="1">
      <c r="A210" s="4" t="s">
        <v>124</v>
      </c>
      <c r="B210" s="5" t="s">
        <v>125</v>
      </c>
      <c r="C210" s="11">
        <v>51284.19</v>
      </c>
      <c r="D210" s="10" t="str">
        <f>HYPERLINK("http://www.usrc.it/AppRendiConta/det_349_20170523.pdf","DETERMINA N. 349 DEL 23/05/2017")</f>
        <v>DETERMINA N. 349 DEL 23/05/2017</v>
      </c>
      <c r="E210" s="5" t="s">
        <v>405</v>
      </c>
      <c r="F210" s="5" t="s">
        <v>12</v>
      </c>
      <c r="G210" s="5" t="s">
        <v>13</v>
      </c>
      <c r="H210" s="9"/>
      <c r="I210" s="9"/>
      <c r="J210" s="9"/>
      <c r="K210" s="9"/>
      <c r="L210" s="9"/>
      <c r="M210" s="9"/>
      <c r="N210" s="9"/>
      <c r="O210" s="9"/>
      <c r="P210" s="9"/>
    </row>
    <row r="211" ht="30.0" customHeight="1">
      <c r="A211" s="4" t="s">
        <v>367</v>
      </c>
      <c r="B211" s="5" t="s">
        <v>368</v>
      </c>
      <c r="C211" s="11">
        <v>1573.8</v>
      </c>
      <c r="D211" s="10" t="str">
        <f>HYPERLINK("http://www.usrc.it/AppRendiConta/det_354_20170525.pdf","DETERMINA N. 354 DEL 25/05/2017")</f>
        <v>DETERMINA N. 354 DEL 25/05/2017</v>
      </c>
      <c r="E211" s="5" t="s">
        <v>406</v>
      </c>
      <c r="F211" s="5" t="s">
        <v>12</v>
      </c>
      <c r="G211" s="5" t="s">
        <v>366</v>
      </c>
      <c r="H211" s="9"/>
      <c r="I211" s="9"/>
      <c r="J211" s="9"/>
      <c r="K211" s="9"/>
      <c r="L211" s="9"/>
      <c r="M211" s="9"/>
      <c r="N211" s="9"/>
      <c r="O211" s="9"/>
      <c r="P211" s="9"/>
    </row>
    <row r="212" ht="30.0" customHeight="1">
      <c r="A212" s="4" t="s">
        <v>159</v>
      </c>
      <c r="B212" s="5" t="s">
        <v>160</v>
      </c>
      <c r="C212" s="11">
        <v>41396.18</v>
      </c>
      <c r="D212" s="10" t="str">
        <f>HYPERLINK("http://www.usrc.it/AppRendiConta/det_355_20170525.pdf","DETERMINA N. 355 DEL 25/05/2017")</f>
        <v>DETERMINA N. 355 DEL 25/05/2017</v>
      </c>
      <c r="E212" s="5" t="s">
        <v>407</v>
      </c>
      <c r="F212" s="5" t="s">
        <v>12</v>
      </c>
      <c r="G212" s="5" t="s">
        <v>206</v>
      </c>
      <c r="H212" s="9"/>
      <c r="I212" s="9"/>
      <c r="J212" s="9"/>
      <c r="K212" s="9"/>
      <c r="L212" s="9"/>
      <c r="M212" s="9"/>
      <c r="N212" s="9"/>
      <c r="O212" s="9"/>
      <c r="P212" s="9"/>
    </row>
    <row r="213" ht="30.0" customHeight="1">
      <c r="A213" s="4" t="s">
        <v>408</v>
      </c>
      <c r="B213" s="5" t="s">
        <v>409</v>
      </c>
      <c r="C213" s="11">
        <v>450000.0</v>
      </c>
      <c r="D213" s="10" t="str">
        <f>HYPERLINK("http://www.usrc.it/AppRendiConta/det_357_20170526.pdf","DETERMINA N. 357 DEL 26/05/2017")</f>
        <v>DETERMINA N. 357 DEL 26/05/2017</v>
      </c>
      <c r="E213" s="5" t="s">
        <v>410</v>
      </c>
      <c r="F213" s="5" t="s">
        <v>12</v>
      </c>
      <c r="G213" s="5" t="s">
        <v>58</v>
      </c>
      <c r="H213" s="9"/>
      <c r="I213" s="9"/>
      <c r="J213" s="9"/>
      <c r="K213" s="9"/>
      <c r="L213" s="9"/>
      <c r="M213" s="9"/>
      <c r="N213" s="9"/>
      <c r="O213" s="9"/>
      <c r="P213" s="9"/>
    </row>
    <row r="214" ht="30.0" customHeight="1">
      <c r="A214" s="4" t="s">
        <v>59</v>
      </c>
      <c r="B214" s="5" t="s">
        <v>60</v>
      </c>
      <c r="C214" s="11">
        <v>522151.07</v>
      </c>
      <c r="D214" s="10" t="str">
        <f>HYPERLINK("http://www.usrc.it/AppRendiConta/det_359_20170529.pdf","DETERMINA N. 359 DEL 29/05/2017")</f>
        <v>DETERMINA N. 359 DEL 29/05/2017</v>
      </c>
      <c r="E214" s="8" t="s">
        <v>411</v>
      </c>
      <c r="F214" s="8" t="s">
        <v>12</v>
      </c>
      <c r="G214" s="8" t="s">
        <v>62</v>
      </c>
      <c r="H214" s="9"/>
      <c r="I214" s="9"/>
      <c r="J214" s="9"/>
      <c r="K214" s="9"/>
      <c r="L214" s="9"/>
      <c r="M214" s="9"/>
      <c r="N214" s="9"/>
      <c r="O214" s="9"/>
      <c r="P214" s="9"/>
    </row>
    <row r="215" ht="30.0" customHeight="1">
      <c r="A215" s="4" t="s">
        <v>193</v>
      </c>
      <c r="B215" s="5" t="s">
        <v>194</v>
      </c>
      <c r="C215" s="11">
        <v>21355.4</v>
      </c>
      <c r="D215" s="10" t="str">
        <f>HYPERLINK("http://www.usrc.it/AppRendiConta/det_360_20170529.pdf","DETERMINA N. 360 DEL 29/05/2017")</f>
        <v>DETERMINA N. 360 DEL 29/05/2017</v>
      </c>
      <c r="E215" s="8" t="s">
        <v>412</v>
      </c>
      <c r="F215" s="8" t="s">
        <v>12</v>
      </c>
      <c r="G215" s="8" t="s">
        <v>413</v>
      </c>
      <c r="H215" s="9"/>
      <c r="I215" s="9"/>
      <c r="J215" s="9"/>
      <c r="K215" s="9"/>
      <c r="L215" s="9"/>
      <c r="M215" s="9"/>
      <c r="N215" s="9"/>
      <c r="O215" s="9"/>
      <c r="P215" s="9"/>
    </row>
    <row r="216" ht="30.0" customHeight="1">
      <c r="A216" s="4" t="s">
        <v>414</v>
      </c>
      <c r="B216" s="5" t="s">
        <v>415</v>
      </c>
      <c r="C216" s="11">
        <v>2040.0</v>
      </c>
      <c r="D216" s="10" t="str">
        <f t="shared" ref="D216:D218" si="12">HYPERLINK("http://www.usrc.it/AppRendiConta/det_361_20170530.pdf","DETERMINA N. 361 DEL 30/05/2017")</f>
        <v>DETERMINA N. 361 DEL 30/05/2017</v>
      </c>
      <c r="E216" s="8" t="s">
        <v>416</v>
      </c>
      <c r="F216" s="8" t="s">
        <v>12</v>
      </c>
      <c r="G216" s="8" t="s">
        <v>376</v>
      </c>
      <c r="H216" s="9"/>
      <c r="I216" s="9"/>
      <c r="J216" s="9"/>
      <c r="K216" s="9"/>
      <c r="L216" s="9"/>
      <c r="M216" s="9"/>
      <c r="N216" s="9"/>
      <c r="O216" s="9"/>
      <c r="P216" s="9"/>
    </row>
    <row r="217" ht="30.0" customHeight="1">
      <c r="A217" s="4" t="s">
        <v>55</v>
      </c>
      <c r="B217" s="5" t="s">
        <v>56</v>
      </c>
      <c r="C217" s="11">
        <v>7600.0</v>
      </c>
      <c r="D217" s="10" t="str">
        <f t="shared" si="12"/>
        <v>DETERMINA N. 361 DEL 30/05/2017</v>
      </c>
      <c r="E217" s="8" t="s">
        <v>417</v>
      </c>
      <c r="F217" s="8" t="s">
        <v>12</v>
      </c>
      <c r="G217" s="8" t="s">
        <v>376</v>
      </c>
      <c r="H217" s="9"/>
      <c r="I217" s="9"/>
      <c r="J217" s="9"/>
      <c r="K217" s="9"/>
      <c r="L217" s="9"/>
      <c r="M217" s="9"/>
      <c r="N217" s="9"/>
      <c r="O217" s="9"/>
      <c r="P217" s="9"/>
    </row>
    <row r="218" ht="30.0" customHeight="1">
      <c r="A218" s="4" t="s">
        <v>201</v>
      </c>
      <c r="B218" s="5" t="s">
        <v>202</v>
      </c>
      <c r="C218" s="11">
        <v>608.0</v>
      </c>
      <c r="D218" s="10" t="str">
        <f t="shared" si="12"/>
        <v>DETERMINA N. 361 DEL 30/05/2017</v>
      </c>
      <c r="E218" s="8" t="s">
        <v>418</v>
      </c>
      <c r="F218" s="8" t="s">
        <v>12</v>
      </c>
      <c r="G218" s="8" t="s">
        <v>376</v>
      </c>
      <c r="H218" s="9"/>
      <c r="I218" s="9"/>
      <c r="J218" s="9"/>
      <c r="K218" s="9"/>
      <c r="L218" s="9"/>
      <c r="M218" s="9"/>
      <c r="N218" s="9"/>
      <c r="O218" s="9"/>
      <c r="P218" s="9"/>
    </row>
    <row r="219" ht="30.0" customHeight="1">
      <c r="A219" s="4" t="s">
        <v>179</v>
      </c>
      <c r="B219" s="5" t="s">
        <v>180</v>
      </c>
      <c r="C219" s="11">
        <v>768.8</v>
      </c>
      <c r="D219" s="10" t="str">
        <f t="shared" ref="D219:D221" si="13">HYPERLINK("http://www.usrc.it/AppRendiConta/det_362_20170530.pdf","DETERMINA N. 362 DEL 30/05/2017")</f>
        <v>DETERMINA N. 362 DEL 30/05/2017</v>
      </c>
      <c r="E219" s="8" t="s">
        <v>419</v>
      </c>
      <c r="F219" s="8" t="s">
        <v>12</v>
      </c>
      <c r="G219" s="8" t="s">
        <v>376</v>
      </c>
      <c r="H219" s="9"/>
      <c r="I219" s="9"/>
      <c r="J219" s="9"/>
      <c r="K219" s="9"/>
      <c r="L219" s="9"/>
      <c r="M219" s="9"/>
      <c r="N219" s="9"/>
      <c r="O219" s="9"/>
      <c r="P219" s="9"/>
    </row>
    <row r="220" ht="30.0" customHeight="1">
      <c r="A220" s="4" t="s">
        <v>172</v>
      </c>
      <c r="B220" s="5" t="s">
        <v>173</v>
      </c>
      <c r="C220" s="11">
        <v>142736.7</v>
      </c>
      <c r="D220" s="10" t="str">
        <f t="shared" si="13"/>
        <v>DETERMINA N. 362 DEL 30/05/2017</v>
      </c>
      <c r="E220" s="8" t="s">
        <v>420</v>
      </c>
      <c r="F220" s="8" t="s">
        <v>12</v>
      </c>
      <c r="G220" s="8" t="s">
        <v>386</v>
      </c>
      <c r="H220" s="9"/>
      <c r="I220" s="9"/>
      <c r="J220" s="9"/>
      <c r="K220" s="9"/>
      <c r="L220" s="9"/>
      <c r="M220" s="9"/>
      <c r="N220" s="9"/>
      <c r="O220" s="9"/>
      <c r="P220" s="9"/>
    </row>
    <row r="221" ht="30.0" customHeight="1">
      <c r="A221" s="4" t="s">
        <v>18</v>
      </c>
      <c r="B221" s="5" t="s">
        <v>19</v>
      </c>
      <c r="C221" s="11">
        <v>23076.5</v>
      </c>
      <c r="D221" s="10" t="str">
        <f t="shared" si="13"/>
        <v>DETERMINA N. 362 DEL 30/05/2017</v>
      </c>
      <c r="E221" s="8" t="s">
        <v>421</v>
      </c>
      <c r="F221" s="8" t="s">
        <v>12</v>
      </c>
      <c r="G221" s="8" t="s">
        <v>376</v>
      </c>
      <c r="H221" s="9"/>
      <c r="I221" s="9"/>
      <c r="J221" s="9"/>
      <c r="K221" s="9"/>
      <c r="L221" s="9"/>
      <c r="M221" s="9"/>
      <c r="N221" s="9"/>
      <c r="O221" s="9"/>
      <c r="P221" s="9"/>
    </row>
    <row r="222" ht="30.0" customHeight="1">
      <c r="A222" s="4" t="s">
        <v>95</v>
      </c>
      <c r="B222" s="5" t="s">
        <v>96</v>
      </c>
      <c r="C222" s="11">
        <v>22812.0</v>
      </c>
      <c r="D222" s="10" t="str">
        <f t="shared" ref="D222:D225" si="14">HYPERLINK("http://www.usrc.it/AppRendiConta/det_363_20170530.pdf","DETERMINA N. 363 DEL 30/05/2017")</f>
        <v>DETERMINA N. 363 DEL 30/05/2017</v>
      </c>
      <c r="E222" s="8" t="s">
        <v>422</v>
      </c>
      <c r="F222" s="8" t="s">
        <v>12</v>
      </c>
      <c r="G222" s="8" t="s">
        <v>376</v>
      </c>
      <c r="H222" s="9"/>
      <c r="I222" s="9"/>
      <c r="J222" s="9"/>
      <c r="K222" s="9"/>
      <c r="L222" s="9"/>
      <c r="M222" s="9"/>
      <c r="N222" s="9"/>
      <c r="O222" s="9"/>
      <c r="P222" s="9"/>
    </row>
    <row r="223" ht="30.0" customHeight="1">
      <c r="A223" s="4" t="s">
        <v>172</v>
      </c>
      <c r="B223" s="5" t="s">
        <v>173</v>
      </c>
      <c r="C223" s="11">
        <v>2400.0</v>
      </c>
      <c r="D223" s="10" t="str">
        <f t="shared" si="14"/>
        <v>DETERMINA N. 363 DEL 30/05/2017</v>
      </c>
      <c r="E223" s="8" t="s">
        <v>423</v>
      </c>
      <c r="F223" s="8" t="s">
        <v>12</v>
      </c>
      <c r="G223" s="8" t="s">
        <v>376</v>
      </c>
      <c r="H223" s="9"/>
      <c r="I223" s="9"/>
      <c r="J223" s="9"/>
      <c r="K223" s="9"/>
      <c r="L223" s="9"/>
      <c r="M223" s="9"/>
      <c r="N223" s="9"/>
      <c r="O223" s="9"/>
      <c r="P223" s="9"/>
    </row>
    <row r="224" ht="30.0" customHeight="1">
      <c r="A224" s="4" t="s">
        <v>117</v>
      </c>
      <c r="B224" s="5" t="s">
        <v>118</v>
      </c>
      <c r="C224" s="11">
        <v>1200.0</v>
      </c>
      <c r="D224" s="10" t="str">
        <f t="shared" si="14"/>
        <v>DETERMINA N. 363 DEL 30/05/2017</v>
      </c>
      <c r="E224" s="8" t="s">
        <v>424</v>
      </c>
      <c r="F224" s="8" t="s">
        <v>12</v>
      </c>
      <c r="G224" s="8" t="s">
        <v>376</v>
      </c>
      <c r="H224" s="9"/>
      <c r="I224" s="9"/>
      <c r="J224" s="9"/>
      <c r="K224" s="9"/>
      <c r="L224" s="9"/>
      <c r="M224" s="9"/>
      <c r="N224" s="9"/>
      <c r="O224" s="9"/>
      <c r="P224" s="9"/>
    </row>
    <row r="225" ht="30.0" customHeight="1">
      <c r="A225" s="4" t="s">
        <v>231</v>
      </c>
      <c r="B225" s="5" t="s">
        <v>232</v>
      </c>
      <c r="C225" s="11">
        <v>2200.0</v>
      </c>
      <c r="D225" s="10" t="str">
        <f t="shared" si="14"/>
        <v>DETERMINA N. 363 DEL 30/05/2017</v>
      </c>
      <c r="E225" s="8" t="s">
        <v>425</v>
      </c>
      <c r="F225" s="8" t="s">
        <v>12</v>
      </c>
      <c r="G225" s="8" t="s">
        <v>376</v>
      </c>
      <c r="H225" s="9"/>
      <c r="I225" s="9"/>
      <c r="J225" s="9"/>
      <c r="K225" s="9"/>
      <c r="L225" s="9"/>
      <c r="M225" s="9"/>
      <c r="N225" s="9"/>
      <c r="O225" s="9"/>
      <c r="P225" s="9"/>
    </row>
    <row r="226" ht="30.0" customHeight="1">
      <c r="A226" s="4" t="s">
        <v>32</v>
      </c>
      <c r="B226" s="5" t="s">
        <v>33</v>
      </c>
      <c r="C226" s="11">
        <v>43721.7</v>
      </c>
      <c r="D226" s="7" t="str">
        <f>HYPERLINK("http://www.usrc.it/AppRendiConta/det_364_20170530.pdf","DETERMINA N. 364 DEL 30/05/2017")</f>
        <v>DETERMINA N. 364 DEL 30/05/2017</v>
      </c>
      <c r="E226" s="8" t="s">
        <v>426</v>
      </c>
      <c r="F226" s="8" t="s">
        <v>12</v>
      </c>
      <c r="G226" s="8" t="s">
        <v>366</v>
      </c>
      <c r="H226" s="9"/>
      <c r="I226" s="9"/>
      <c r="J226" s="9"/>
      <c r="K226" s="9"/>
      <c r="L226" s="9"/>
      <c r="M226" s="9"/>
      <c r="N226" s="9"/>
      <c r="O226" s="9"/>
      <c r="P226" s="9"/>
    </row>
    <row r="227" ht="30.0" customHeight="1">
      <c r="A227" s="4" t="s">
        <v>427</v>
      </c>
      <c r="B227" s="5" t="s">
        <v>428</v>
      </c>
      <c r="C227" s="11">
        <v>61595.97</v>
      </c>
      <c r="D227" s="7" t="str">
        <f>HYPERLINK("http://www.usrc.it/AppRendiConta/det_366_20170530.pdf","DETERMINA N. 366 DEL 30/05/2017")</f>
        <v>DETERMINA N. 366 DEL 30/05/2017</v>
      </c>
      <c r="E227" s="8" t="s">
        <v>429</v>
      </c>
      <c r="F227" s="8" t="s">
        <v>12</v>
      </c>
      <c r="G227" s="8" t="s">
        <v>58</v>
      </c>
      <c r="H227" s="9"/>
      <c r="I227" s="9"/>
      <c r="J227" s="9"/>
      <c r="K227" s="9"/>
      <c r="L227" s="9"/>
      <c r="M227" s="9"/>
      <c r="N227" s="9"/>
      <c r="O227" s="9"/>
      <c r="P227" s="9"/>
    </row>
    <row r="228" ht="30.0" customHeight="1">
      <c r="A228" s="4" t="s">
        <v>430</v>
      </c>
      <c r="B228" s="5" t="s">
        <v>431</v>
      </c>
      <c r="C228" s="11">
        <v>406342.2</v>
      </c>
      <c r="D228" s="10" t="str">
        <f>HYPERLINK("http://www.usrc.it/AppRendiConta/det_368_20170601.pdf","DETERMINA N. 368 DEL 01/06/2017")</f>
        <v>DETERMINA N. 368 DEL 01/06/2017</v>
      </c>
      <c r="E228" s="8" t="s">
        <v>432</v>
      </c>
      <c r="F228" s="8" t="s">
        <v>12</v>
      </c>
      <c r="G228" s="8" t="s">
        <v>58</v>
      </c>
      <c r="H228" s="9"/>
      <c r="I228" s="9"/>
      <c r="J228" s="9"/>
      <c r="K228" s="9"/>
      <c r="L228" s="9"/>
      <c r="M228" s="9"/>
      <c r="N228" s="9"/>
      <c r="O228" s="9"/>
      <c r="P228" s="9"/>
    </row>
    <row r="229" ht="30.0" customHeight="1">
      <c r="A229" s="4" t="s">
        <v>256</v>
      </c>
      <c r="B229" s="5" t="s">
        <v>257</v>
      </c>
      <c r="C229" s="11">
        <v>2337867.66</v>
      </c>
      <c r="D229" s="10" t="str">
        <f>HYPERLINK("http://www.usrc.it/AppRendiConta/det_371_20170605.pdf","DETERMINA N. 371 DEL 05/06/2017")</f>
        <v>DETERMINA N. 371 DEL 05/06/2017</v>
      </c>
      <c r="E229" s="8" t="s">
        <v>433</v>
      </c>
      <c r="F229" s="8" t="s">
        <v>12</v>
      </c>
      <c r="G229" s="8" t="s">
        <v>13</v>
      </c>
      <c r="H229" s="9"/>
      <c r="I229" s="9"/>
      <c r="J229" s="9"/>
      <c r="K229" s="9"/>
      <c r="L229" s="9"/>
      <c r="M229" s="9"/>
      <c r="N229" s="9"/>
      <c r="O229" s="9"/>
      <c r="P229" s="9"/>
    </row>
    <row r="230" ht="30.0" customHeight="1">
      <c r="A230" s="4" t="s">
        <v>90</v>
      </c>
      <c r="B230" s="5" t="s">
        <v>91</v>
      </c>
      <c r="C230" s="11">
        <v>2440.0</v>
      </c>
      <c r="D230" s="10" t="str">
        <f>HYPERLINK("http://www.usrc.it/AppRendiConta/det_378_20170607.pdf","DETERMINA N. 378 DEL 07/06/2017")</f>
        <v>DETERMINA N. 378 DEL 07/06/2017</v>
      </c>
      <c r="E230" s="8" t="s">
        <v>434</v>
      </c>
      <c r="F230" s="8" t="s">
        <v>12</v>
      </c>
      <c r="G230" s="8" t="s">
        <v>206</v>
      </c>
      <c r="H230" s="9"/>
      <c r="I230" s="9"/>
      <c r="J230" s="9"/>
      <c r="K230" s="9"/>
      <c r="L230" s="9"/>
      <c r="M230" s="9"/>
      <c r="N230" s="9"/>
      <c r="O230" s="9"/>
      <c r="P230" s="9"/>
    </row>
    <row r="231" ht="30.0" customHeight="1">
      <c r="A231" s="4" t="s">
        <v>113</v>
      </c>
      <c r="B231" s="5" t="s">
        <v>114</v>
      </c>
      <c r="C231" s="11">
        <v>1615946.13</v>
      </c>
      <c r="D231" s="10" t="str">
        <f>HYPERLINK("http://www.usrc.it/AppRendiConta/det_379_20170607.pdf","DETERMINA N. 379 DEL 07/06/2017")</f>
        <v>DETERMINA N. 379 DEL 07/06/2017</v>
      </c>
      <c r="E231" s="8" t="s">
        <v>435</v>
      </c>
      <c r="F231" s="8" t="s">
        <v>12</v>
      </c>
      <c r="G231" s="8" t="s">
        <v>13</v>
      </c>
      <c r="H231" s="9"/>
      <c r="I231" s="9"/>
      <c r="J231" s="9"/>
      <c r="K231" s="9"/>
      <c r="L231" s="9"/>
      <c r="M231" s="9"/>
      <c r="N231" s="9"/>
      <c r="O231" s="9"/>
      <c r="P231" s="9"/>
    </row>
    <row r="232" ht="30.0" customHeight="1">
      <c r="A232" s="4" t="s">
        <v>52</v>
      </c>
      <c r="B232" s="5" t="s">
        <v>53</v>
      </c>
      <c r="C232" s="11">
        <v>92285.71</v>
      </c>
      <c r="D232" s="10" t="str">
        <f>HYPERLINK("http://www.usrc.it/AppRendiConta/det_380_20170607.pdf","DETERMINA N. 380 DEL 07/06/2017")</f>
        <v>DETERMINA N. 380 DEL 07/06/2017</v>
      </c>
      <c r="E232" s="8" t="s">
        <v>436</v>
      </c>
      <c r="F232" s="8" t="s">
        <v>12</v>
      </c>
      <c r="G232" s="8" t="s">
        <v>24</v>
      </c>
      <c r="H232" s="9"/>
      <c r="I232" s="9"/>
      <c r="J232" s="9"/>
      <c r="K232" s="9"/>
      <c r="L232" s="9"/>
      <c r="M232" s="9"/>
      <c r="N232" s="9"/>
      <c r="O232" s="9"/>
      <c r="P232" s="9"/>
    </row>
    <row r="233" ht="30.0" customHeight="1">
      <c r="A233" s="4" t="s">
        <v>437</v>
      </c>
      <c r="B233" s="5" t="s">
        <v>438</v>
      </c>
      <c r="C233" s="11">
        <v>76341.78</v>
      </c>
      <c r="D233" s="10" t="str">
        <f>HYPERLINK("http://www.usrc.it/AppRendiConta/det_384_20170609.pdf","DETERMINA N. 384 DEL 09/06/2017")</f>
        <v>DETERMINA N. 384 DEL 09/06/2017</v>
      </c>
      <c r="E233" s="8" t="s">
        <v>439</v>
      </c>
      <c r="F233" s="8" t="s">
        <v>12</v>
      </c>
      <c r="G233" s="8" t="s">
        <v>440</v>
      </c>
      <c r="H233" s="9"/>
      <c r="I233" s="9"/>
      <c r="J233" s="9"/>
      <c r="K233" s="9"/>
      <c r="L233" s="9"/>
      <c r="M233" s="9"/>
      <c r="N233" s="9"/>
      <c r="O233" s="9"/>
      <c r="P233" s="9"/>
    </row>
    <row r="234" ht="30.0" customHeight="1">
      <c r="A234" s="4" t="s">
        <v>287</v>
      </c>
      <c r="B234" s="5" t="s">
        <v>288</v>
      </c>
      <c r="C234" s="11">
        <v>189001.06</v>
      </c>
      <c r="D234" s="10" t="str">
        <f>HYPERLINK("http://www.usrc.it/AppRendiConta/det_385_20170609.pdf","DETERMINA N. 385 DEL 09/06/2017")</f>
        <v>DETERMINA N. 385 DEL 09/06/2017</v>
      </c>
      <c r="E234" s="8" t="s">
        <v>441</v>
      </c>
      <c r="F234" s="8" t="s">
        <v>12</v>
      </c>
      <c r="G234" s="8" t="s">
        <v>13</v>
      </c>
      <c r="H234" s="9"/>
      <c r="I234" s="9"/>
      <c r="J234" s="9"/>
      <c r="K234" s="9"/>
      <c r="L234" s="9"/>
      <c r="M234" s="9"/>
      <c r="N234" s="9"/>
      <c r="O234" s="9"/>
      <c r="P234" s="9"/>
    </row>
    <row r="235" ht="30.0" customHeight="1">
      <c r="A235" s="4" t="s">
        <v>442</v>
      </c>
      <c r="B235" s="5" t="s">
        <v>443</v>
      </c>
      <c r="C235" s="11">
        <v>96086.99</v>
      </c>
      <c r="D235" s="10" t="str">
        <f>HYPERLINK("http://www.usrc.it/AppRendiConta/det_386_20170609.pdf","DETERMINA N. 386 DEL 09/06/2017")</f>
        <v>DETERMINA N. 386 DEL 09/06/2017</v>
      </c>
      <c r="E235" s="8" t="s">
        <v>444</v>
      </c>
      <c r="F235" s="8" t="s">
        <v>12</v>
      </c>
      <c r="G235" s="8" t="s">
        <v>24</v>
      </c>
      <c r="H235" s="9"/>
      <c r="I235" s="9"/>
      <c r="J235" s="9"/>
      <c r="K235" s="9"/>
      <c r="L235" s="9"/>
      <c r="M235" s="9"/>
      <c r="N235" s="9"/>
      <c r="O235" s="9"/>
      <c r="P235" s="9"/>
    </row>
    <row r="236" ht="30.0" customHeight="1">
      <c r="A236" s="4" t="s">
        <v>52</v>
      </c>
      <c r="B236" s="5" t="s">
        <v>53</v>
      </c>
      <c r="C236" s="11">
        <v>57704.07</v>
      </c>
      <c r="D236" s="10" t="str">
        <f>HYPERLINK("http://www.usrc.it/AppRendiConta/det_390_20170609.pdf","DETERMINA N. 390 DEL 09/06/2017")</f>
        <v>DETERMINA N. 390 DEL 09/06/2017</v>
      </c>
      <c r="E236" s="8" t="s">
        <v>445</v>
      </c>
      <c r="F236" s="8" t="s">
        <v>12</v>
      </c>
      <c r="G236" s="8" t="s">
        <v>24</v>
      </c>
      <c r="H236" s="9"/>
      <c r="I236" s="9"/>
      <c r="J236" s="9"/>
      <c r="K236" s="9"/>
      <c r="L236" s="9"/>
      <c r="M236" s="9"/>
      <c r="N236" s="9"/>
      <c r="O236" s="9"/>
      <c r="P236" s="9"/>
    </row>
    <row r="237" ht="30.0" customHeight="1">
      <c r="A237" s="4" t="s">
        <v>323</v>
      </c>
      <c r="B237" s="5" t="s">
        <v>324</v>
      </c>
      <c r="C237" s="11">
        <v>23834.62</v>
      </c>
      <c r="D237" s="10" t="str">
        <f>HYPERLINK("http://www.usrc.it/AppRendiConta/det_391_20170609.pdf","DETERMINA N. 391 DEL 09/06/2017")</f>
        <v>DETERMINA N. 391 DEL 09/06/2017</v>
      </c>
      <c r="E237" s="8" t="s">
        <v>446</v>
      </c>
      <c r="F237" s="8" t="s">
        <v>12</v>
      </c>
      <c r="G237" s="8" t="s">
        <v>24</v>
      </c>
      <c r="H237" s="9"/>
      <c r="I237" s="9"/>
      <c r="J237" s="9"/>
      <c r="K237" s="9"/>
      <c r="L237" s="9"/>
      <c r="M237" s="9"/>
      <c r="N237" s="9"/>
      <c r="O237" s="9"/>
      <c r="P237" s="9"/>
    </row>
    <row r="238" ht="30.0" customHeight="1">
      <c r="A238" s="4" t="s">
        <v>32</v>
      </c>
      <c r="B238" s="5" t="s">
        <v>33</v>
      </c>
      <c r="C238" s="11">
        <v>5638.29</v>
      </c>
      <c r="D238" s="10" t="str">
        <f>HYPERLINK("http://www.usrc.it/AppRendiConta/det_392_20170609.pdf","DETERMINA N. 392 DEL 09/06/2017")</f>
        <v>DETERMINA N. 392 DEL 09/06/2017</v>
      </c>
      <c r="E238" s="8" t="s">
        <v>447</v>
      </c>
      <c r="F238" s="8" t="s">
        <v>12</v>
      </c>
      <c r="G238" s="8" t="s">
        <v>376</v>
      </c>
      <c r="H238" s="9"/>
      <c r="I238" s="9"/>
      <c r="J238" s="9"/>
      <c r="K238" s="9"/>
      <c r="L238" s="9"/>
      <c r="M238" s="9"/>
      <c r="N238" s="9"/>
      <c r="O238" s="9"/>
      <c r="P238" s="9"/>
    </row>
    <row r="239" ht="30.0" customHeight="1">
      <c r="A239" s="4" t="s">
        <v>223</v>
      </c>
      <c r="B239" s="5" t="s">
        <v>224</v>
      </c>
      <c r="C239" s="11">
        <v>3600.0</v>
      </c>
      <c r="D239" s="10" t="str">
        <f t="shared" ref="D239:D242" si="15">HYPERLINK("http://www.usrc.it/AppRendiConta/det_394_20170612.pdf","DETERMINA N. 394 DEL 12/06/2017")</f>
        <v>DETERMINA N. 394 DEL 12/06/2017</v>
      </c>
      <c r="E239" s="8" t="s">
        <v>448</v>
      </c>
      <c r="F239" s="8" t="s">
        <v>12</v>
      </c>
      <c r="G239" s="8" t="s">
        <v>449</v>
      </c>
      <c r="H239" s="9"/>
      <c r="I239" s="9"/>
      <c r="J239" s="9"/>
      <c r="K239" s="9"/>
      <c r="L239" s="9"/>
      <c r="M239" s="9"/>
      <c r="N239" s="9"/>
      <c r="O239" s="9"/>
      <c r="P239" s="9"/>
    </row>
    <row r="240" ht="30.0" customHeight="1">
      <c r="A240" s="4" t="s">
        <v>18</v>
      </c>
      <c r="B240" s="5" t="s">
        <v>19</v>
      </c>
      <c r="C240" s="11">
        <v>16200.0</v>
      </c>
      <c r="D240" s="10" t="str">
        <f t="shared" si="15"/>
        <v>DETERMINA N. 394 DEL 12/06/2017</v>
      </c>
      <c r="E240" s="8" t="s">
        <v>450</v>
      </c>
      <c r="F240" s="8" t="s">
        <v>12</v>
      </c>
      <c r="G240" s="8" t="s">
        <v>449</v>
      </c>
      <c r="H240" s="9"/>
      <c r="I240" s="9"/>
      <c r="J240" s="9"/>
      <c r="K240" s="9"/>
      <c r="L240" s="9"/>
      <c r="M240" s="9"/>
      <c r="N240" s="9"/>
      <c r="O240" s="9"/>
      <c r="P240" s="9"/>
    </row>
    <row r="241" ht="30.0" customHeight="1">
      <c r="A241" s="4" t="s">
        <v>210</v>
      </c>
      <c r="B241" s="5" t="s">
        <v>211</v>
      </c>
      <c r="C241" s="11">
        <v>1800.0</v>
      </c>
      <c r="D241" s="10" t="str">
        <f t="shared" si="15"/>
        <v>DETERMINA N. 394 DEL 12/06/2017</v>
      </c>
      <c r="E241" s="8" t="s">
        <v>451</v>
      </c>
      <c r="F241" s="8" t="s">
        <v>12</v>
      </c>
      <c r="G241" s="8" t="s">
        <v>449</v>
      </c>
      <c r="H241" s="9"/>
      <c r="I241" s="9"/>
      <c r="J241" s="9"/>
      <c r="K241" s="9"/>
      <c r="L241" s="9"/>
      <c r="M241" s="9"/>
      <c r="N241" s="9"/>
      <c r="O241" s="9"/>
      <c r="P241" s="9"/>
    </row>
    <row r="242" ht="30.0" customHeight="1">
      <c r="A242" s="4" t="s">
        <v>190</v>
      </c>
      <c r="B242" s="5" t="s">
        <v>191</v>
      </c>
      <c r="C242" s="11">
        <v>12600.0</v>
      </c>
      <c r="D242" s="10" t="str">
        <f t="shared" si="15"/>
        <v>DETERMINA N. 394 DEL 12/06/2017</v>
      </c>
      <c r="E242" s="8" t="s">
        <v>452</v>
      </c>
      <c r="F242" s="8" t="s">
        <v>12</v>
      </c>
      <c r="G242" s="8" t="s">
        <v>449</v>
      </c>
      <c r="H242" s="9"/>
      <c r="I242" s="9"/>
      <c r="J242" s="9"/>
      <c r="K242" s="9"/>
      <c r="L242" s="9"/>
      <c r="M242" s="9"/>
      <c r="N242" s="9"/>
      <c r="O242" s="9"/>
      <c r="P242" s="9"/>
    </row>
    <row r="243" ht="30.0" customHeight="1">
      <c r="A243" s="4" t="s">
        <v>223</v>
      </c>
      <c r="B243" s="5" t="s">
        <v>224</v>
      </c>
      <c r="C243" s="11">
        <v>9000.0</v>
      </c>
      <c r="D243" s="10" t="str">
        <f t="shared" ref="D243:D248" si="16">HYPERLINK("http://www.usrc.it/AppRendiConta/det_395_20170612.pdf","DETERMINA N. 395 DEL 12/06/2017")</f>
        <v>DETERMINA N. 395 DEL 12/06/2017</v>
      </c>
      <c r="E243" s="8" t="s">
        <v>92</v>
      </c>
      <c r="F243" s="8" t="s">
        <v>12</v>
      </c>
      <c r="G243" s="8" t="s">
        <v>86</v>
      </c>
      <c r="H243" s="9"/>
      <c r="I243" s="9"/>
      <c r="J243" s="9"/>
      <c r="K243" s="9"/>
      <c r="L243" s="9"/>
      <c r="M243" s="9"/>
      <c r="N243" s="9"/>
      <c r="O243" s="9"/>
      <c r="P243" s="9"/>
    </row>
    <row r="244" ht="30.0" customHeight="1">
      <c r="A244" s="4" t="s">
        <v>18</v>
      </c>
      <c r="B244" s="5" t="s">
        <v>19</v>
      </c>
      <c r="C244" s="11">
        <v>9000.0</v>
      </c>
      <c r="D244" s="10" t="str">
        <f t="shared" si="16"/>
        <v>DETERMINA N. 395 DEL 12/06/2017</v>
      </c>
      <c r="E244" s="8" t="s">
        <v>92</v>
      </c>
      <c r="F244" s="8" t="s">
        <v>12</v>
      </c>
      <c r="G244" s="8" t="s">
        <v>86</v>
      </c>
      <c r="H244" s="9"/>
      <c r="I244" s="9"/>
      <c r="J244" s="9"/>
      <c r="K244" s="9"/>
      <c r="L244" s="9"/>
      <c r="M244" s="9"/>
      <c r="N244" s="9"/>
      <c r="O244" s="9"/>
      <c r="P244" s="9"/>
    </row>
    <row r="245" ht="30.0" customHeight="1">
      <c r="A245" s="4" t="s">
        <v>210</v>
      </c>
      <c r="B245" s="5" t="s">
        <v>211</v>
      </c>
      <c r="C245" s="11">
        <v>5400.0</v>
      </c>
      <c r="D245" s="10" t="str">
        <f t="shared" si="16"/>
        <v>DETERMINA N. 395 DEL 12/06/2017</v>
      </c>
      <c r="E245" s="8" t="s">
        <v>453</v>
      </c>
      <c r="F245" s="8" t="s">
        <v>12</v>
      </c>
      <c r="G245" s="8" t="s">
        <v>86</v>
      </c>
      <c r="H245" s="9"/>
      <c r="I245" s="9"/>
      <c r="J245" s="9"/>
      <c r="K245" s="9"/>
      <c r="L245" s="9"/>
      <c r="M245" s="9"/>
      <c r="N245" s="9"/>
      <c r="O245" s="9"/>
      <c r="P245" s="9"/>
    </row>
    <row r="246" ht="30.0" customHeight="1">
      <c r="A246" s="4" t="s">
        <v>190</v>
      </c>
      <c r="B246" s="5" t="s">
        <v>191</v>
      </c>
      <c r="C246" s="11">
        <v>9000.0</v>
      </c>
      <c r="D246" s="10" t="str">
        <f t="shared" si="16"/>
        <v>DETERMINA N. 395 DEL 12/06/2017</v>
      </c>
      <c r="E246" s="8" t="s">
        <v>92</v>
      </c>
      <c r="F246" s="8" t="s">
        <v>12</v>
      </c>
      <c r="G246" s="8" t="s">
        <v>86</v>
      </c>
      <c r="H246" s="9"/>
      <c r="I246" s="9"/>
      <c r="J246" s="9"/>
      <c r="K246" s="9"/>
      <c r="L246" s="9"/>
      <c r="M246" s="9"/>
      <c r="N246" s="9"/>
      <c r="O246" s="9"/>
      <c r="P246" s="9"/>
    </row>
    <row r="247" ht="30.0" customHeight="1">
      <c r="A247" s="4" t="s">
        <v>179</v>
      </c>
      <c r="B247" s="5" t="s">
        <v>180</v>
      </c>
      <c r="C247" s="11">
        <v>9000.0</v>
      </c>
      <c r="D247" s="10" t="str">
        <f t="shared" si="16"/>
        <v>DETERMINA N. 395 DEL 12/06/2017</v>
      </c>
      <c r="E247" s="8" t="s">
        <v>92</v>
      </c>
      <c r="F247" s="8" t="s">
        <v>12</v>
      </c>
      <c r="G247" s="8" t="s">
        <v>86</v>
      </c>
      <c r="H247" s="9"/>
      <c r="I247" s="9"/>
      <c r="J247" s="9"/>
      <c r="K247" s="9"/>
      <c r="L247" s="9"/>
      <c r="M247" s="9"/>
      <c r="N247" s="9"/>
      <c r="O247" s="9"/>
      <c r="P247" s="9"/>
    </row>
    <row r="248" ht="30.0" customHeight="1">
      <c r="A248" s="4" t="s">
        <v>175</v>
      </c>
      <c r="B248" s="5" t="s">
        <v>176</v>
      </c>
      <c r="C248" s="11">
        <v>5400.0</v>
      </c>
      <c r="D248" s="10" t="str">
        <f t="shared" si="16"/>
        <v>DETERMINA N. 395 DEL 12/06/2017</v>
      </c>
      <c r="E248" s="8" t="s">
        <v>453</v>
      </c>
      <c r="F248" s="8" t="s">
        <v>12</v>
      </c>
      <c r="G248" s="8" t="s">
        <v>86</v>
      </c>
      <c r="H248" s="9"/>
      <c r="I248" s="9"/>
      <c r="J248" s="9"/>
      <c r="K248" s="9"/>
      <c r="L248" s="9"/>
      <c r="M248" s="9"/>
      <c r="N248" s="9"/>
      <c r="O248" s="9"/>
      <c r="P248" s="9"/>
    </row>
    <row r="249" ht="30.0" customHeight="1">
      <c r="A249" s="4" t="s">
        <v>223</v>
      </c>
      <c r="B249" s="5" t="s">
        <v>224</v>
      </c>
      <c r="C249" s="11">
        <v>7200.0</v>
      </c>
      <c r="D249" s="10" t="str">
        <f t="shared" ref="D249:D255" si="17">HYPERLINK("http://www.usrc.it/AppRendiConta/det_396_20170612.pdf","DETERMINA N. 396 DEL 12/06/2017")</f>
        <v>DETERMINA N. 396 DEL 12/06/2017</v>
      </c>
      <c r="E249" s="8" t="s">
        <v>454</v>
      </c>
      <c r="F249" s="8" t="s">
        <v>12</v>
      </c>
      <c r="G249" s="8" t="s">
        <v>455</v>
      </c>
      <c r="H249" s="9"/>
      <c r="I249" s="9"/>
      <c r="J249" s="9"/>
      <c r="K249" s="9"/>
      <c r="L249" s="9"/>
      <c r="M249" s="9"/>
      <c r="N249" s="9"/>
      <c r="O249" s="9"/>
      <c r="P249" s="9"/>
    </row>
    <row r="250" ht="30.0" customHeight="1">
      <c r="A250" s="4" t="s">
        <v>103</v>
      </c>
      <c r="B250" s="5" t="s">
        <v>104</v>
      </c>
      <c r="C250" s="11">
        <v>5400.0</v>
      </c>
      <c r="D250" s="10" t="str">
        <f t="shared" si="17"/>
        <v>DETERMINA N. 396 DEL 12/06/2017</v>
      </c>
      <c r="E250" s="8" t="s">
        <v>456</v>
      </c>
      <c r="F250" s="8" t="s">
        <v>12</v>
      </c>
      <c r="G250" s="8" t="s">
        <v>455</v>
      </c>
      <c r="H250" s="9"/>
      <c r="I250" s="9"/>
      <c r="J250" s="9"/>
      <c r="K250" s="9"/>
      <c r="L250" s="9"/>
      <c r="M250" s="9"/>
      <c r="N250" s="9"/>
      <c r="O250" s="9"/>
      <c r="P250" s="9"/>
    </row>
    <row r="251" ht="30.0" customHeight="1">
      <c r="A251" s="4" t="s">
        <v>76</v>
      </c>
      <c r="B251" s="5" t="s">
        <v>77</v>
      </c>
      <c r="C251" s="11">
        <v>7200.0</v>
      </c>
      <c r="D251" s="10" t="str">
        <f t="shared" si="17"/>
        <v>DETERMINA N. 396 DEL 12/06/2017</v>
      </c>
      <c r="E251" s="8" t="s">
        <v>454</v>
      </c>
      <c r="F251" s="8" t="s">
        <v>12</v>
      </c>
      <c r="G251" s="8" t="s">
        <v>455</v>
      </c>
      <c r="H251" s="9"/>
      <c r="I251" s="9"/>
      <c r="J251" s="9"/>
      <c r="K251" s="9"/>
      <c r="L251" s="9"/>
      <c r="M251" s="9"/>
      <c r="N251" s="9"/>
      <c r="O251" s="9"/>
      <c r="P251" s="9"/>
    </row>
    <row r="252" ht="30.0" customHeight="1">
      <c r="A252" s="4" t="s">
        <v>117</v>
      </c>
      <c r="B252" s="5" t="s">
        <v>118</v>
      </c>
      <c r="C252" s="11">
        <v>1800.0</v>
      </c>
      <c r="D252" s="10" t="str">
        <f t="shared" si="17"/>
        <v>DETERMINA N. 396 DEL 12/06/2017</v>
      </c>
      <c r="E252" s="8" t="s">
        <v>457</v>
      </c>
      <c r="F252" s="8" t="s">
        <v>12</v>
      </c>
      <c r="G252" s="8" t="s">
        <v>455</v>
      </c>
      <c r="H252" s="9"/>
      <c r="I252" s="9"/>
      <c r="J252" s="9"/>
      <c r="K252" s="9"/>
      <c r="L252" s="9"/>
      <c r="M252" s="9"/>
      <c r="N252" s="9"/>
      <c r="O252" s="9"/>
      <c r="P252" s="9"/>
    </row>
    <row r="253" ht="30.0" customHeight="1">
      <c r="A253" s="4" t="s">
        <v>256</v>
      </c>
      <c r="B253" s="5" t="s">
        <v>257</v>
      </c>
      <c r="C253" s="11">
        <v>5400.0</v>
      </c>
      <c r="D253" s="10" t="str">
        <f t="shared" si="17"/>
        <v>DETERMINA N. 396 DEL 12/06/2017</v>
      </c>
      <c r="E253" s="8" t="s">
        <v>456</v>
      </c>
      <c r="F253" s="8" t="s">
        <v>12</v>
      </c>
      <c r="G253" s="8" t="s">
        <v>455</v>
      </c>
      <c r="H253" s="9"/>
      <c r="I253" s="9"/>
      <c r="J253" s="9"/>
      <c r="K253" s="9"/>
      <c r="L253" s="9"/>
      <c r="M253" s="9"/>
      <c r="N253" s="9"/>
      <c r="O253" s="9"/>
      <c r="P253" s="9"/>
    </row>
    <row r="254" ht="30.0" customHeight="1">
      <c r="A254" s="4" t="s">
        <v>323</v>
      </c>
      <c r="B254" s="5" t="s">
        <v>324</v>
      </c>
      <c r="C254" s="11">
        <v>5400.0</v>
      </c>
      <c r="D254" s="10" t="str">
        <f t="shared" si="17"/>
        <v>DETERMINA N. 396 DEL 12/06/2017</v>
      </c>
      <c r="E254" s="8" t="s">
        <v>456</v>
      </c>
      <c r="F254" s="8" t="s">
        <v>12</v>
      </c>
      <c r="G254" s="8" t="s">
        <v>455</v>
      </c>
      <c r="H254" s="9"/>
      <c r="I254" s="9"/>
      <c r="J254" s="9"/>
      <c r="K254" s="9"/>
      <c r="L254" s="9"/>
      <c r="M254" s="9"/>
      <c r="N254" s="9"/>
      <c r="O254" s="9"/>
      <c r="P254" s="9"/>
    </row>
    <row r="255" ht="30.0" customHeight="1">
      <c r="A255" s="4" t="s">
        <v>14</v>
      </c>
      <c r="B255" s="5" t="s">
        <v>15</v>
      </c>
      <c r="C255" s="11">
        <v>6989.48</v>
      </c>
      <c r="D255" s="10" t="str">
        <f t="shared" si="17"/>
        <v>DETERMINA N. 396 DEL 12/06/2017</v>
      </c>
      <c r="E255" s="8" t="s">
        <v>458</v>
      </c>
      <c r="F255" s="5" t="s">
        <v>12</v>
      </c>
      <c r="G255" s="5" t="s">
        <v>455</v>
      </c>
      <c r="H255" s="9"/>
      <c r="I255" s="9"/>
      <c r="J255" s="9"/>
      <c r="K255" s="9"/>
      <c r="L255" s="9"/>
      <c r="M255" s="9"/>
      <c r="N255" s="9"/>
      <c r="O255" s="9"/>
      <c r="P255" s="9"/>
    </row>
    <row r="256" ht="30.0" customHeight="1">
      <c r="A256" s="4" t="s">
        <v>18</v>
      </c>
      <c r="B256" s="5" t="s">
        <v>19</v>
      </c>
      <c r="C256" s="11">
        <v>25600.0</v>
      </c>
      <c r="D256" s="10" t="str">
        <f t="shared" ref="D256:D263" si="18">HYPERLINK("http://www.usrc.it/AppRendiConta/det_397_20170612.pdf","DETERMINA N. 397 DEL 12/06/2017")</f>
        <v>DETERMINA N. 397 DEL 12/06/2017</v>
      </c>
      <c r="E256" s="8" t="s">
        <v>459</v>
      </c>
      <c r="F256" s="5" t="s">
        <v>12</v>
      </c>
      <c r="G256" s="5" t="s">
        <v>376</v>
      </c>
      <c r="H256" s="9"/>
      <c r="I256" s="9"/>
      <c r="J256" s="9"/>
      <c r="K256" s="9"/>
      <c r="L256" s="9"/>
      <c r="M256" s="9"/>
      <c r="N256" s="9"/>
      <c r="O256" s="9"/>
      <c r="P256" s="9"/>
    </row>
    <row r="257" ht="30.0" customHeight="1">
      <c r="A257" s="4" t="s">
        <v>108</v>
      </c>
      <c r="B257" s="5" t="s">
        <v>109</v>
      </c>
      <c r="C257" s="11">
        <v>11800.0</v>
      </c>
      <c r="D257" s="10" t="str">
        <f t="shared" si="18"/>
        <v>DETERMINA N. 397 DEL 12/06/2017</v>
      </c>
      <c r="E257" s="8" t="s">
        <v>460</v>
      </c>
      <c r="F257" s="5" t="s">
        <v>12</v>
      </c>
      <c r="G257" s="5" t="s">
        <v>376</v>
      </c>
      <c r="H257" s="9"/>
      <c r="I257" s="9"/>
      <c r="J257" s="9"/>
      <c r="K257" s="9"/>
      <c r="L257" s="9"/>
      <c r="M257" s="9"/>
      <c r="N257" s="9"/>
      <c r="O257" s="9"/>
      <c r="P257" s="9"/>
    </row>
    <row r="258" ht="30.0" customHeight="1">
      <c r="A258" s="4" t="s">
        <v>193</v>
      </c>
      <c r="B258" s="5" t="s">
        <v>194</v>
      </c>
      <c r="C258" s="11">
        <v>23029.02</v>
      </c>
      <c r="D258" s="10" t="str">
        <f t="shared" si="18"/>
        <v>DETERMINA N. 397 DEL 12/06/2017</v>
      </c>
      <c r="E258" s="8" t="s">
        <v>380</v>
      </c>
      <c r="F258" s="5" t="s">
        <v>12</v>
      </c>
      <c r="G258" s="5" t="s">
        <v>376</v>
      </c>
      <c r="H258" s="9"/>
      <c r="I258" s="9"/>
      <c r="J258" s="9"/>
      <c r="K258" s="9"/>
      <c r="L258" s="9"/>
      <c r="M258" s="9"/>
      <c r="N258" s="9"/>
      <c r="O258" s="9"/>
      <c r="P258" s="9"/>
    </row>
    <row r="259" ht="30.0" customHeight="1">
      <c r="A259" s="4" t="s">
        <v>323</v>
      </c>
      <c r="B259" s="5" t="s">
        <v>324</v>
      </c>
      <c r="C259" s="11">
        <v>5894.52</v>
      </c>
      <c r="D259" s="10" t="str">
        <f t="shared" si="18"/>
        <v>DETERMINA N. 397 DEL 12/06/2017</v>
      </c>
      <c r="E259" s="8" t="s">
        <v>461</v>
      </c>
      <c r="F259" s="5" t="s">
        <v>12</v>
      </c>
      <c r="G259" s="5" t="s">
        <v>376</v>
      </c>
      <c r="H259" s="9"/>
      <c r="I259" s="9"/>
      <c r="J259" s="9"/>
      <c r="K259" s="9"/>
      <c r="L259" s="9"/>
      <c r="M259" s="9"/>
      <c r="N259" s="9"/>
      <c r="O259" s="9"/>
      <c r="P259" s="9"/>
    </row>
    <row r="260" ht="30.0" customHeight="1">
      <c r="A260" s="4" t="s">
        <v>14</v>
      </c>
      <c r="B260" s="5" t="s">
        <v>15</v>
      </c>
      <c r="C260" s="11">
        <v>1500.0</v>
      </c>
      <c r="D260" s="10" t="str">
        <f t="shared" si="18"/>
        <v>DETERMINA N. 397 DEL 12/06/2017</v>
      </c>
      <c r="E260" s="8" t="s">
        <v>462</v>
      </c>
      <c r="F260" s="5" t="s">
        <v>12</v>
      </c>
      <c r="G260" s="5" t="s">
        <v>376</v>
      </c>
      <c r="H260" s="9"/>
      <c r="I260" s="9"/>
      <c r="J260" s="9"/>
      <c r="K260" s="9"/>
      <c r="L260" s="9"/>
      <c r="M260" s="9"/>
      <c r="N260" s="9"/>
      <c r="O260" s="9"/>
      <c r="P260" s="9"/>
    </row>
    <row r="261" ht="30.0" customHeight="1">
      <c r="A261" s="4" t="s">
        <v>276</v>
      </c>
      <c r="B261" s="5" t="s">
        <v>277</v>
      </c>
      <c r="C261" s="11">
        <v>12600.0</v>
      </c>
      <c r="D261" s="10" t="str">
        <f t="shared" si="18"/>
        <v>DETERMINA N. 397 DEL 12/06/2017</v>
      </c>
      <c r="E261" s="8" t="s">
        <v>463</v>
      </c>
      <c r="F261" s="5" t="s">
        <v>12</v>
      </c>
      <c r="G261" s="5" t="s">
        <v>376</v>
      </c>
      <c r="H261" s="9"/>
      <c r="I261" s="9"/>
      <c r="J261" s="9"/>
      <c r="K261" s="9"/>
      <c r="L261" s="9"/>
      <c r="M261" s="9"/>
      <c r="N261" s="9"/>
      <c r="O261" s="9"/>
      <c r="P261" s="9"/>
    </row>
    <row r="262" ht="30.0" customHeight="1">
      <c r="A262" s="4" t="s">
        <v>32</v>
      </c>
      <c r="B262" s="5" t="s">
        <v>33</v>
      </c>
      <c r="C262" s="11">
        <v>2800.0</v>
      </c>
      <c r="D262" s="10" t="str">
        <f t="shared" si="18"/>
        <v>DETERMINA N. 397 DEL 12/06/2017</v>
      </c>
      <c r="E262" s="8" t="s">
        <v>464</v>
      </c>
      <c r="F262" s="5" t="s">
        <v>12</v>
      </c>
      <c r="G262" s="5" t="s">
        <v>376</v>
      </c>
      <c r="H262" s="9"/>
      <c r="I262" s="9"/>
      <c r="J262" s="9"/>
      <c r="K262" s="9"/>
      <c r="L262" s="9"/>
      <c r="M262" s="9"/>
      <c r="N262" s="9"/>
      <c r="O262" s="9"/>
      <c r="P262" s="9"/>
    </row>
    <row r="263" ht="30.0" customHeight="1">
      <c r="A263" s="4" t="s">
        <v>120</v>
      </c>
      <c r="B263" s="5" t="s">
        <v>121</v>
      </c>
      <c r="C263" s="11">
        <v>27300.0</v>
      </c>
      <c r="D263" s="10" t="str">
        <f t="shared" si="18"/>
        <v>DETERMINA N. 397 DEL 12/06/2017</v>
      </c>
      <c r="E263" s="8" t="s">
        <v>465</v>
      </c>
      <c r="F263" s="5" t="s">
        <v>12</v>
      </c>
      <c r="G263" s="5" t="s">
        <v>376</v>
      </c>
      <c r="H263" s="9"/>
      <c r="I263" s="9"/>
      <c r="J263" s="9"/>
      <c r="K263" s="9"/>
      <c r="L263" s="9"/>
      <c r="M263" s="9"/>
      <c r="N263" s="9"/>
      <c r="O263" s="9"/>
      <c r="P263" s="9"/>
    </row>
    <row r="264" ht="30.0" customHeight="1">
      <c r="A264" s="4" t="s">
        <v>164</v>
      </c>
      <c r="B264" s="5" t="s">
        <v>165</v>
      </c>
      <c r="C264" s="11">
        <v>2200.0</v>
      </c>
      <c r="D264" s="10" t="str">
        <f t="shared" ref="D264:D265" si="19">HYPERLINK("http://www.usrc.it/AppRendiConta/det_398_20170612.pdf","DETERMINA N. 398 DEL 12/06/2017")</f>
        <v>DETERMINA N. 398 DEL 12/06/2017</v>
      </c>
      <c r="E264" s="8" t="s">
        <v>463</v>
      </c>
      <c r="F264" s="5" t="s">
        <v>12</v>
      </c>
      <c r="G264" s="5" t="s">
        <v>376</v>
      </c>
      <c r="H264" s="9"/>
      <c r="I264" s="9"/>
      <c r="J264" s="9"/>
      <c r="K264" s="9"/>
      <c r="L264" s="9"/>
      <c r="M264" s="9"/>
      <c r="N264" s="9"/>
      <c r="O264" s="9"/>
      <c r="P264" s="9"/>
    </row>
    <row r="265" ht="30.0" customHeight="1">
      <c r="A265" s="4" t="s">
        <v>466</v>
      </c>
      <c r="B265" s="5" t="s">
        <v>467</v>
      </c>
      <c r="C265" s="11">
        <v>8748.39</v>
      </c>
      <c r="D265" s="10" t="str">
        <f t="shared" si="19"/>
        <v>DETERMINA N. 398 DEL 12/06/2017</v>
      </c>
      <c r="E265" s="8" t="s">
        <v>468</v>
      </c>
      <c r="F265" s="5" t="s">
        <v>12</v>
      </c>
      <c r="G265" s="5" t="s">
        <v>376</v>
      </c>
      <c r="H265" s="9"/>
      <c r="I265" s="9"/>
      <c r="J265" s="9"/>
      <c r="K265" s="9"/>
      <c r="L265" s="9"/>
      <c r="M265" s="9"/>
      <c r="N265" s="9"/>
      <c r="O265" s="9"/>
      <c r="P265" s="9"/>
    </row>
    <row r="266" ht="30.0" customHeight="1">
      <c r="A266" s="4" t="s">
        <v>231</v>
      </c>
      <c r="B266" s="5" t="s">
        <v>232</v>
      </c>
      <c r="C266" s="11">
        <v>284830.85</v>
      </c>
      <c r="D266" s="10" t="str">
        <f>HYPERLINK("http://www.usrc.it/AppRendiConta/det_402_20170613.pdf","DETERMINA N. 402 DEL 13/06/2017")</f>
        <v>DETERMINA N. 402 DEL 13/06/2017</v>
      </c>
      <c r="E266" s="5" t="s">
        <v>469</v>
      </c>
      <c r="F266" s="5" t="s">
        <v>12</v>
      </c>
      <c r="G266" s="5" t="s">
        <v>58</v>
      </c>
      <c r="H266" s="5"/>
      <c r="I266" s="5"/>
      <c r="J266" s="9"/>
      <c r="K266" s="9"/>
      <c r="L266" s="9"/>
      <c r="M266" s="9"/>
      <c r="N266" s="9"/>
      <c r="O266" s="9"/>
      <c r="P266" s="9"/>
    </row>
    <row r="267" ht="30.0" customHeight="1">
      <c r="A267" s="4" t="s">
        <v>470</v>
      </c>
      <c r="B267" s="5" t="s">
        <v>471</v>
      </c>
      <c r="C267" s="11">
        <v>11951.1</v>
      </c>
      <c r="D267" s="10" t="str">
        <f>HYPERLINK("http://www.usrc.it/AppRendiConta/det_416_20170622.pdf","DETERMINA N. 416 DEL 22/06/2017")</f>
        <v>DETERMINA N. 416 DEL 22/06/2017</v>
      </c>
      <c r="E267" s="5" t="s">
        <v>472</v>
      </c>
      <c r="F267" s="5" t="s">
        <v>12</v>
      </c>
      <c r="G267" s="5" t="s">
        <v>366</v>
      </c>
      <c r="H267" s="9"/>
      <c r="I267" s="9"/>
      <c r="J267" s="9"/>
      <c r="K267" s="9"/>
      <c r="L267" s="9"/>
      <c r="M267" s="9"/>
      <c r="N267" s="9"/>
      <c r="O267" s="9"/>
      <c r="P267" s="9"/>
    </row>
    <row r="268" ht="30.0" customHeight="1">
      <c r="A268" s="4" t="s">
        <v>49</v>
      </c>
      <c r="B268" s="5" t="s">
        <v>50</v>
      </c>
      <c r="C268" s="11">
        <v>74516.14</v>
      </c>
      <c r="D268" s="10" t="str">
        <f>HYPERLINK("http://www.usrc.it/AppRendiConta/det_417_20170622.pdf","DETERMINA N. 417 DEL 22/06/2017")</f>
        <v>DETERMINA N. 417 DEL 22/06/2017</v>
      </c>
      <c r="E268" s="5" t="s">
        <v>473</v>
      </c>
      <c r="F268" s="5" t="s">
        <v>12</v>
      </c>
      <c r="G268" s="5" t="s">
        <v>206</v>
      </c>
      <c r="H268" s="9"/>
      <c r="I268" s="9"/>
      <c r="J268" s="9"/>
      <c r="K268" s="9"/>
      <c r="L268" s="9"/>
      <c r="M268" s="9"/>
      <c r="N268" s="9"/>
      <c r="O268" s="9"/>
      <c r="P268" s="9"/>
    </row>
    <row r="269" ht="30.0" customHeight="1">
      <c r="A269" s="4" t="s">
        <v>39</v>
      </c>
      <c r="B269" s="5" t="s">
        <v>40</v>
      </c>
      <c r="C269" s="11">
        <v>12921.83</v>
      </c>
      <c r="D269" s="10" t="str">
        <f>HYPERLINK("http://www.usrc.it/AppRendiConta/det_418_20170622.pdf","DETERMINA N. 418 DEL 22/06/2017")</f>
        <v>DETERMINA N. 418 DEL 22/06/2017</v>
      </c>
      <c r="E269" s="5" t="s">
        <v>474</v>
      </c>
      <c r="F269" s="5" t="s">
        <v>12</v>
      </c>
      <c r="G269" s="5" t="s">
        <v>206</v>
      </c>
      <c r="H269" s="9"/>
      <c r="I269" s="9"/>
      <c r="J269" s="9"/>
      <c r="K269" s="9"/>
      <c r="L269" s="9"/>
      <c r="M269" s="9"/>
      <c r="N269" s="9"/>
      <c r="O269" s="9"/>
      <c r="P269" s="9"/>
    </row>
    <row r="270" ht="30.0" customHeight="1">
      <c r="A270" s="4" t="s">
        <v>363</v>
      </c>
      <c r="B270" s="5" t="s">
        <v>364</v>
      </c>
      <c r="C270" s="11">
        <v>139061.2</v>
      </c>
      <c r="D270" s="10" t="str">
        <f>HYPERLINK("http://www.usrc.it/AppRendiConta/det_420_20170622.pdf","DETERMINA N. 420 DEL 22/06/2017")</f>
        <v>DETERMINA N. 420 DEL 22/06/2017</v>
      </c>
      <c r="E270" s="5" t="s">
        <v>475</v>
      </c>
      <c r="F270" s="5" t="s">
        <v>12</v>
      </c>
      <c r="G270" s="5" t="s">
        <v>366</v>
      </c>
      <c r="H270" s="9"/>
      <c r="I270" s="9"/>
      <c r="J270" s="9"/>
      <c r="K270" s="9"/>
      <c r="L270" s="9"/>
      <c r="M270" s="9"/>
      <c r="N270" s="9"/>
      <c r="O270" s="9"/>
      <c r="P270" s="9"/>
    </row>
    <row r="271" ht="30.0" customHeight="1">
      <c r="A271" s="4" t="s">
        <v>190</v>
      </c>
      <c r="B271" s="5" t="s">
        <v>191</v>
      </c>
      <c r="C271" s="11">
        <v>84465.22</v>
      </c>
      <c r="D271" s="10" t="str">
        <f>HYPERLINK("http://www.usrc.it/AppRendiConta/det_421_20170626.pdf","DETERMINA N. 421 DEL 26/06/2017")</f>
        <v>DETERMINA N. 421 DEL 26/06/2017</v>
      </c>
      <c r="E271" s="5" t="s">
        <v>476</v>
      </c>
      <c r="F271" s="5" t="s">
        <v>12</v>
      </c>
      <c r="G271" s="5" t="s">
        <v>24</v>
      </c>
      <c r="H271" s="9"/>
      <c r="I271" s="9"/>
      <c r="J271" s="9"/>
      <c r="K271" s="9"/>
      <c r="L271" s="9"/>
      <c r="M271" s="9"/>
      <c r="N271" s="9"/>
      <c r="O271" s="9"/>
      <c r="P271" s="9"/>
    </row>
    <row r="272" ht="30.0" customHeight="1">
      <c r="A272" s="4" t="s">
        <v>69</v>
      </c>
      <c r="B272" s="5" t="s">
        <v>70</v>
      </c>
      <c r="C272" s="11">
        <v>72449.98</v>
      </c>
      <c r="D272" s="10" t="str">
        <f>HYPERLINK("http://www.usrc.it/AppRendiConta/det_422_20170626.pdf","DETERMINA N. 422 DEL 26/06/2017")</f>
        <v>DETERMINA N. 422 DEL 26/06/2017</v>
      </c>
      <c r="E272" s="5" t="s">
        <v>477</v>
      </c>
      <c r="F272" s="5" t="s">
        <v>12</v>
      </c>
      <c r="G272" s="5" t="s">
        <v>24</v>
      </c>
      <c r="H272" s="9"/>
      <c r="I272" s="9"/>
      <c r="J272" s="9"/>
      <c r="K272" s="9"/>
      <c r="L272" s="9"/>
      <c r="M272" s="9"/>
      <c r="N272" s="9"/>
      <c r="O272" s="9"/>
      <c r="P272" s="9"/>
    </row>
    <row r="273" ht="30.0" customHeight="1">
      <c r="A273" s="4" t="s">
        <v>87</v>
      </c>
      <c r="B273" s="5" t="s">
        <v>88</v>
      </c>
      <c r="C273" s="11">
        <v>1852371.01</v>
      </c>
      <c r="D273" s="10" t="str">
        <f>HYPERLINK("http://www.usrc.it/AppRendiConta/det_425_20170628.pdf","DETERMINA N. 425 DEL 28/06/2017")</f>
        <v>DETERMINA N. 425 DEL 28/06/2017</v>
      </c>
      <c r="E273" s="5" t="s">
        <v>478</v>
      </c>
      <c r="F273" s="5" t="s">
        <v>12</v>
      </c>
      <c r="G273" s="5" t="s">
        <v>479</v>
      </c>
      <c r="H273" s="9"/>
      <c r="I273" s="9"/>
      <c r="J273" s="9"/>
      <c r="K273" s="9"/>
      <c r="L273" s="9"/>
      <c r="M273" s="9"/>
      <c r="N273" s="9"/>
      <c r="O273" s="9"/>
      <c r="P273" s="9"/>
    </row>
    <row r="274" ht="30.0" customHeight="1">
      <c r="A274" s="4" t="s">
        <v>179</v>
      </c>
      <c r="B274" s="5" t="s">
        <v>180</v>
      </c>
      <c r="C274" s="11">
        <v>1909445.07</v>
      </c>
      <c r="D274" s="10" t="str">
        <f>HYPERLINK("http://www.usrc.it/AppRendiConta/det_426_20170628.pdf","DETERMINA N. 426 DEL 28/06/2017")</f>
        <v>DETERMINA N. 426 DEL 28/06/2017</v>
      </c>
      <c r="E274" s="5" t="s">
        <v>480</v>
      </c>
      <c r="F274" s="5" t="s">
        <v>12</v>
      </c>
      <c r="G274" s="5" t="s">
        <v>222</v>
      </c>
      <c r="H274" s="9"/>
      <c r="I274" s="9"/>
      <c r="J274" s="9"/>
      <c r="K274" s="9"/>
      <c r="L274" s="9"/>
      <c r="M274" s="9"/>
      <c r="N274" s="9"/>
      <c r="O274" s="9"/>
      <c r="P274" s="9"/>
    </row>
    <row r="275" ht="30.0" customHeight="1">
      <c r="A275" s="4" t="s">
        <v>117</v>
      </c>
      <c r="B275" s="5" t="s">
        <v>118</v>
      </c>
      <c r="C275" s="11">
        <v>4007158.31</v>
      </c>
      <c r="D275" s="10" t="str">
        <f>HYPERLINK("http://www.usrc.it/AppRendiConta/det_427_20170628.pdf","DETERMINA N. 427 DEL 28/06/2017")</f>
        <v>DETERMINA N. 427 DEL 28/06/2017</v>
      </c>
      <c r="E275" s="5" t="s">
        <v>481</v>
      </c>
      <c r="F275" s="5" t="s">
        <v>12</v>
      </c>
      <c r="G275" s="5" t="s">
        <v>222</v>
      </c>
      <c r="H275" s="9"/>
      <c r="I275" s="9"/>
      <c r="J275" s="9"/>
      <c r="K275" s="9"/>
      <c r="L275" s="9"/>
      <c r="M275" s="9"/>
      <c r="N275" s="9"/>
      <c r="O275" s="9"/>
      <c r="P275" s="9"/>
    </row>
    <row r="276" ht="30.0" customHeight="1">
      <c r="A276" s="4" t="s">
        <v>99</v>
      </c>
      <c r="B276" s="5" t="s">
        <v>100</v>
      </c>
      <c r="C276" s="11">
        <v>105584.32</v>
      </c>
      <c r="D276" s="10" t="str">
        <f>HYPERLINK("http://www.usrc.it/AppRendiConta/det_428_20170628.pdf","DETERMINA N. 428 DEL 28/06/2017")</f>
        <v>DETERMINA N. 428 DEL 28/06/2017</v>
      </c>
      <c r="E276" s="5" t="s">
        <v>482</v>
      </c>
      <c r="F276" s="5" t="s">
        <v>12</v>
      </c>
      <c r="G276" s="5" t="s">
        <v>13</v>
      </c>
      <c r="H276" s="9"/>
      <c r="I276" s="9"/>
      <c r="J276" s="9"/>
      <c r="K276" s="9"/>
      <c r="L276" s="9"/>
      <c r="M276" s="9"/>
      <c r="N276" s="9"/>
      <c r="O276" s="9"/>
      <c r="P276" s="9"/>
    </row>
    <row r="277" ht="30.0" customHeight="1">
      <c r="A277" s="4" t="s">
        <v>483</v>
      </c>
      <c r="B277" s="5" t="s">
        <v>484</v>
      </c>
      <c r="C277" s="11">
        <v>274382.92</v>
      </c>
      <c r="D277" s="10" t="str">
        <f>HYPERLINK("http://www.usrc.it/AppRendiConta/det_429_20170628.pdf","DETERMINA N. 429 DEL 28/06/2017")</f>
        <v>DETERMINA N. 429 DEL 28/06/2017</v>
      </c>
      <c r="E277" s="5" t="s">
        <v>485</v>
      </c>
      <c r="F277" s="5" t="s">
        <v>12</v>
      </c>
      <c r="G277" s="5" t="s">
        <v>13</v>
      </c>
      <c r="H277" s="9"/>
      <c r="I277" s="9"/>
      <c r="J277" s="9"/>
      <c r="K277" s="9"/>
      <c r="L277" s="9"/>
      <c r="M277" s="9"/>
      <c r="N277" s="9"/>
      <c r="O277" s="9"/>
      <c r="P277" s="9"/>
    </row>
    <row r="278" ht="30.0" customHeight="1">
      <c r="A278" s="4" t="s">
        <v>486</v>
      </c>
      <c r="B278" s="5" t="s">
        <v>487</v>
      </c>
      <c r="C278" s="11">
        <v>69806.45</v>
      </c>
      <c r="D278" s="10" t="str">
        <f>HYPERLINK("http://www.usrc.it/AppRendiConta/det_430_20170628.pdf","DETERMINA N. 430 DEL 28/06/2017")</f>
        <v>DETERMINA N. 430 DEL 28/06/2017</v>
      </c>
      <c r="E278" s="5" t="s">
        <v>488</v>
      </c>
      <c r="F278" s="5" t="s">
        <v>12</v>
      </c>
      <c r="G278" s="5" t="s">
        <v>151</v>
      </c>
      <c r="H278" s="9"/>
      <c r="I278" s="9"/>
      <c r="J278" s="9"/>
      <c r="K278" s="9"/>
      <c r="L278" s="9"/>
      <c r="M278" s="9"/>
      <c r="N278" s="9"/>
      <c r="O278" s="9"/>
      <c r="P278" s="9"/>
    </row>
    <row r="279" ht="30.0" customHeight="1">
      <c r="A279" s="4" t="s">
        <v>489</v>
      </c>
      <c r="B279" s="5" t="s">
        <v>490</v>
      </c>
      <c r="C279" s="11">
        <v>26997.22</v>
      </c>
      <c r="D279" s="10" t="str">
        <f>HYPERLINK("http://www.usrc.it/AppRendiConta/det_431_20170628.pdf","DETERMINA N. 431 DEL 28/06/2017")</f>
        <v>DETERMINA N. 431 DEL 28/06/2017</v>
      </c>
      <c r="E279" s="5" t="s">
        <v>491</v>
      </c>
      <c r="F279" s="5" t="s">
        <v>12</v>
      </c>
      <c r="G279" s="5" t="s">
        <v>13</v>
      </c>
      <c r="H279" s="9"/>
      <c r="I279" s="9"/>
      <c r="J279" s="9"/>
      <c r="K279" s="9"/>
      <c r="L279" s="9"/>
      <c r="M279" s="9"/>
      <c r="N279" s="9"/>
      <c r="O279" s="9"/>
      <c r="P279" s="9"/>
    </row>
    <row r="280" ht="30.0" customHeight="1">
      <c r="A280" s="4" t="s">
        <v>175</v>
      </c>
      <c r="B280" s="5" t="s">
        <v>176</v>
      </c>
      <c r="C280" s="11">
        <v>5126.0</v>
      </c>
      <c r="D280" s="10" t="str">
        <f>HYPERLINK("http://www.usrc.it/AppRendiConta/det_432_20170628.pdf","DETERMINA N. 432 DEL 28/06/2017")</f>
        <v>DETERMINA N. 432 DEL 28/06/2017</v>
      </c>
      <c r="E280" s="5" t="s">
        <v>492</v>
      </c>
      <c r="F280" s="8" t="s">
        <v>12</v>
      </c>
      <c r="G280" s="8" t="s">
        <v>366</v>
      </c>
      <c r="H280" s="9"/>
      <c r="I280" s="9"/>
      <c r="J280" s="9"/>
      <c r="K280" s="9"/>
      <c r="L280" s="9"/>
      <c r="M280" s="9"/>
      <c r="N280" s="9"/>
      <c r="O280" s="9"/>
      <c r="P280" s="9"/>
    </row>
    <row r="281" ht="30.0" customHeight="1">
      <c r="A281" s="4" t="s">
        <v>32</v>
      </c>
      <c r="B281" s="5" t="s">
        <v>33</v>
      </c>
      <c r="C281" s="11">
        <v>166719.07</v>
      </c>
      <c r="D281" s="10" t="str">
        <f>HYPERLINK("http://www.usrc.it/AppRendiConta/det_433_20170628.pdf","DETERMINA N. 433 DEL 28/06/2017")</f>
        <v>DETERMINA N. 433 DEL 28/06/2017</v>
      </c>
      <c r="E281" s="5" t="s">
        <v>493</v>
      </c>
      <c r="F281" s="8" t="s">
        <v>12</v>
      </c>
      <c r="G281" s="8" t="s">
        <v>206</v>
      </c>
      <c r="H281" s="9"/>
      <c r="I281" s="9"/>
      <c r="J281" s="9"/>
      <c r="K281" s="9"/>
      <c r="L281" s="9"/>
      <c r="M281" s="9"/>
      <c r="N281" s="9"/>
      <c r="O281" s="9"/>
      <c r="P281" s="9"/>
    </row>
    <row r="282" ht="30.0" customHeight="1">
      <c r="A282" s="4" t="s">
        <v>39</v>
      </c>
      <c r="B282" s="5" t="s">
        <v>40</v>
      </c>
      <c r="C282" s="11">
        <v>34160.49</v>
      </c>
      <c r="D282" s="10" t="str">
        <f>HYPERLINK("http://www.usrc.it/AppRendiConta/det_434_20170628.pdf","DETERMINA N. 434 DEL 28/06/2017")</f>
        <v>DETERMINA N. 434 DEL 28/06/2017</v>
      </c>
      <c r="E282" s="5" t="s">
        <v>494</v>
      </c>
      <c r="F282" s="8" t="s">
        <v>12</v>
      </c>
      <c r="G282" s="8" t="s">
        <v>24</v>
      </c>
      <c r="H282" s="9"/>
      <c r="I282" s="9"/>
      <c r="J282" s="9"/>
      <c r="K282" s="9"/>
      <c r="L282" s="9"/>
      <c r="M282" s="9"/>
      <c r="N282" s="9"/>
      <c r="O282" s="9"/>
      <c r="P282" s="9"/>
    </row>
    <row r="283" ht="30.0" customHeight="1">
      <c r="A283" s="4" t="s">
        <v>90</v>
      </c>
      <c r="B283" s="5" t="s">
        <v>91</v>
      </c>
      <c r="C283" s="11">
        <v>5608.9</v>
      </c>
      <c r="D283" s="10" t="str">
        <f>HYPERLINK("http://www.usrc.it/AppRendiConta/det_435_20170628.pdf","DETERMINA N. 435 DEL 28/06/2017")</f>
        <v>DETERMINA N. 435 DEL 28/06/2017</v>
      </c>
      <c r="E283" s="5" t="s">
        <v>495</v>
      </c>
      <c r="F283" s="8" t="s">
        <v>12</v>
      </c>
      <c r="G283" s="8" t="s">
        <v>366</v>
      </c>
      <c r="H283" s="9"/>
      <c r="I283" s="9"/>
      <c r="J283" s="9"/>
      <c r="K283" s="9"/>
      <c r="L283" s="9"/>
      <c r="M283" s="9"/>
      <c r="N283" s="9"/>
      <c r="O283" s="9"/>
      <c r="P283" s="9"/>
    </row>
    <row r="284" ht="30.0" customHeight="1">
      <c r="A284" s="4" t="s">
        <v>323</v>
      </c>
      <c r="B284" s="5" t="s">
        <v>324</v>
      </c>
      <c r="C284" s="11">
        <v>1815269.11</v>
      </c>
      <c r="D284" s="10" t="str">
        <f>HYPERLINK("http://www.usrc.it/AppRendiConta/det_436_20170628.pdf","DETERMINA N. 436 DEL 28/06/2017")</f>
        <v>DETERMINA N. 436 DEL 28/06/2017</v>
      </c>
      <c r="E284" s="8" t="s">
        <v>325</v>
      </c>
      <c r="F284" s="8" t="s">
        <v>12</v>
      </c>
      <c r="G284" s="8" t="s">
        <v>496</v>
      </c>
      <c r="H284" s="9"/>
      <c r="I284" s="9"/>
      <c r="J284" s="9"/>
      <c r="K284" s="9"/>
      <c r="L284" s="9"/>
      <c r="M284" s="9"/>
      <c r="N284" s="9"/>
      <c r="O284" s="9"/>
      <c r="P284" s="9"/>
    </row>
    <row r="285" ht="30.0" customHeight="1">
      <c r="A285" s="4" t="s">
        <v>334</v>
      </c>
      <c r="B285" s="5" t="s">
        <v>335</v>
      </c>
      <c r="C285" s="11">
        <v>1.019992796E7</v>
      </c>
      <c r="D285" s="10" t="str">
        <f>HYPERLINK("http://www.usrc.it/AppRendiConta/det_437_20170628.pdf","DETERMINA N. 437 DEL 28/06/2017")</f>
        <v>DETERMINA N. 437 DEL 28/06/2017</v>
      </c>
      <c r="E285" s="8" t="s">
        <v>497</v>
      </c>
      <c r="F285" s="8" t="s">
        <v>12</v>
      </c>
      <c r="G285" s="8" t="s">
        <v>479</v>
      </c>
      <c r="H285" s="9"/>
      <c r="I285" s="9"/>
      <c r="J285" s="9"/>
      <c r="K285" s="9"/>
      <c r="L285" s="9"/>
      <c r="M285" s="9"/>
      <c r="N285" s="9"/>
      <c r="O285" s="9"/>
      <c r="P285" s="9"/>
    </row>
    <row r="286" ht="30.0" customHeight="1">
      <c r="A286" s="4" t="s">
        <v>498</v>
      </c>
      <c r="B286" s="5" t="s">
        <v>499</v>
      </c>
      <c r="C286" s="11">
        <v>623296.52</v>
      </c>
      <c r="D286" s="10" t="str">
        <f>HYPERLINK("http://www.usrc.it/AppRendiConta/det_440_20170703.pdf","DETERMINA N. 440 DEL 03/07/2017")</f>
        <v>DETERMINA N. 440 DEL 03/07/2017</v>
      </c>
      <c r="E286" s="8" t="s">
        <v>500</v>
      </c>
      <c r="F286" s="8" t="s">
        <v>12</v>
      </c>
      <c r="G286" s="8" t="s">
        <v>13</v>
      </c>
      <c r="H286" s="9"/>
      <c r="I286" s="9"/>
      <c r="J286" s="9"/>
      <c r="K286" s="9"/>
      <c r="L286" s="9"/>
      <c r="M286" s="9"/>
      <c r="N286" s="9"/>
      <c r="O286" s="9"/>
      <c r="P286" s="9"/>
    </row>
    <row r="287" ht="30.0" customHeight="1">
      <c r="A287" s="4" t="s">
        <v>185</v>
      </c>
      <c r="B287" s="5" t="s">
        <v>186</v>
      </c>
      <c r="C287" s="11">
        <v>18219.43</v>
      </c>
      <c r="D287" s="10" t="str">
        <f>HYPERLINK("http://www.usrc.it/AppRendiConta/det_441_20170703.pdf","DETERMINA N. 441 DEL 03/07/2017")</f>
        <v>DETERMINA N. 441 DEL 03/07/2017</v>
      </c>
      <c r="E287" s="5" t="s">
        <v>501</v>
      </c>
      <c r="F287" s="8" t="s">
        <v>12</v>
      </c>
      <c r="G287" s="8" t="s">
        <v>366</v>
      </c>
      <c r="H287" s="9"/>
      <c r="I287" s="9"/>
      <c r="J287" s="9"/>
      <c r="K287" s="9"/>
      <c r="L287" s="9"/>
      <c r="M287" s="9"/>
      <c r="N287" s="9"/>
      <c r="O287" s="9"/>
      <c r="P287" s="9"/>
    </row>
    <row r="288" ht="30.0" customHeight="1">
      <c r="A288" s="4" t="s">
        <v>69</v>
      </c>
      <c r="B288" s="5" t="s">
        <v>70</v>
      </c>
      <c r="C288" s="11">
        <v>65547.79</v>
      </c>
      <c r="D288" s="10" t="str">
        <f>HYPERLINK("http://www.usrc.it/AppRendiConta/det_442_20170704.pdf","DETERMINA N. 442 DEL 04/07/2017")</f>
        <v>DETERMINA N. 442 DEL 04/07/2017</v>
      </c>
      <c r="E288" s="5" t="s">
        <v>502</v>
      </c>
      <c r="F288" s="8" t="s">
        <v>12</v>
      </c>
      <c r="G288" s="8" t="s">
        <v>58</v>
      </c>
      <c r="H288" s="9"/>
      <c r="I288" s="9"/>
      <c r="J288" s="9"/>
      <c r="K288" s="9"/>
      <c r="L288" s="9"/>
      <c r="M288" s="9"/>
      <c r="N288" s="9"/>
      <c r="O288" s="9"/>
      <c r="P288" s="9"/>
    </row>
    <row r="289" ht="30.0" customHeight="1">
      <c r="A289" s="4" t="s">
        <v>251</v>
      </c>
      <c r="B289" s="5" t="s">
        <v>252</v>
      </c>
      <c r="C289" s="11">
        <v>198518.56</v>
      </c>
      <c r="D289" s="10" t="str">
        <f>HYPERLINK("http://www.usrc.it/AppRendiConta/det_443_20170704.pdf","DETERMINA N. 443 DEL 04/07/2017")</f>
        <v>DETERMINA N. 443 DEL 04/07/2017</v>
      </c>
      <c r="E289" s="5" t="s">
        <v>503</v>
      </c>
      <c r="F289" s="8" t="s">
        <v>12</v>
      </c>
      <c r="G289" s="8" t="s">
        <v>24</v>
      </c>
      <c r="H289" s="9"/>
      <c r="I289" s="9"/>
      <c r="J289" s="9"/>
      <c r="K289" s="9"/>
      <c r="L289" s="9"/>
      <c r="M289" s="9"/>
      <c r="N289" s="9"/>
      <c r="O289" s="9"/>
      <c r="P289" s="9"/>
    </row>
    <row r="290" ht="30.0" customHeight="1">
      <c r="A290" s="4" t="s">
        <v>504</v>
      </c>
      <c r="B290" s="5" t="s">
        <v>505</v>
      </c>
      <c r="C290" s="11">
        <v>26551.27</v>
      </c>
      <c r="D290" s="10" t="str">
        <f>HYPERLINK("http://www.usrc.it/AppRendiConta/det_448_20170707.pdf","DETERMINA N. 448 DEL 07/07/2017")</f>
        <v>DETERMINA N. 448 DEL 07/07/2017</v>
      </c>
      <c r="E290" s="5" t="s">
        <v>506</v>
      </c>
      <c r="F290" s="8" t="s">
        <v>12</v>
      </c>
      <c r="G290" s="8" t="s">
        <v>13</v>
      </c>
      <c r="H290" s="9"/>
      <c r="I290" s="9"/>
      <c r="J290" s="9"/>
      <c r="K290" s="9"/>
      <c r="L290" s="9"/>
      <c r="M290" s="9"/>
      <c r="N290" s="9"/>
      <c r="O290" s="9"/>
      <c r="P290" s="9"/>
    </row>
    <row r="291" ht="30.0" customHeight="1">
      <c r="A291" s="4" t="s">
        <v>507</v>
      </c>
      <c r="B291" s="5" t="s">
        <v>508</v>
      </c>
      <c r="C291" s="11">
        <v>22389.22</v>
      </c>
      <c r="D291" s="10" t="str">
        <f>HYPERLINK("http://www.usrc.it/AppRendiConta/det_449_20170707.pdf","DETERMINA N. 449 DEL 07/07/2017")</f>
        <v>DETERMINA N. 449 DEL 07/07/2017</v>
      </c>
      <c r="E291" s="5" t="s">
        <v>509</v>
      </c>
      <c r="F291" s="8" t="s">
        <v>12</v>
      </c>
      <c r="G291" s="8" t="s">
        <v>13</v>
      </c>
      <c r="H291" s="9"/>
      <c r="I291" s="9"/>
      <c r="J291" s="9"/>
      <c r="K291" s="9"/>
      <c r="L291" s="9"/>
      <c r="M291" s="9"/>
      <c r="N291" s="9"/>
      <c r="O291" s="9"/>
      <c r="P291" s="9"/>
    </row>
    <row r="292" ht="30.0" customHeight="1">
      <c r="A292" s="4" t="s">
        <v>55</v>
      </c>
      <c r="B292" s="5" t="s">
        <v>56</v>
      </c>
      <c r="C292" s="11">
        <v>908411.1</v>
      </c>
      <c r="D292" s="10" t="str">
        <f>HYPERLINK("http://www.usrc.it/AppRendiConta/det_450_20170707.pdf","DETERMINA N. 450 DEL 07/07/2017")</f>
        <v>DETERMINA N. 450 DEL 07/07/2017</v>
      </c>
      <c r="E292" s="5" t="s">
        <v>510</v>
      </c>
      <c r="F292" s="8" t="s">
        <v>12</v>
      </c>
      <c r="G292" s="8" t="s">
        <v>13</v>
      </c>
      <c r="H292" s="9"/>
      <c r="I292" s="9"/>
      <c r="J292" s="9"/>
      <c r="K292" s="9"/>
      <c r="L292" s="9"/>
      <c r="M292" s="9"/>
      <c r="N292" s="9"/>
      <c r="O292" s="9"/>
      <c r="P292" s="9"/>
    </row>
    <row r="293" ht="30.0" customHeight="1">
      <c r="A293" s="4" t="s">
        <v>179</v>
      </c>
      <c r="B293" s="5" t="s">
        <v>180</v>
      </c>
      <c r="C293" s="11">
        <v>28601.16</v>
      </c>
      <c r="D293" s="10" t="str">
        <f>HYPERLINK("http://www.usrc.it/AppRendiConta/det_458_20170707.pdf","DETERMINA N. 458 DEL 07/07/2017")</f>
        <v>DETERMINA N. 458 DEL 07/07/2017</v>
      </c>
      <c r="E293" s="5" t="s">
        <v>511</v>
      </c>
      <c r="F293" s="8" t="s">
        <v>12</v>
      </c>
      <c r="G293" s="8" t="s">
        <v>24</v>
      </c>
      <c r="H293" s="9"/>
      <c r="I293" s="9"/>
      <c r="J293" s="9"/>
      <c r="K293" s="9"/>
      <c r="L293" s="9"/>
      <c r="M293" s="9"/>
      <c r="N293" s="9"/>
      <c r="O293" s="9"/>
      <c r="P293" s="9"/>
    </row>
    <row r="294" ht="30.0" customHeight="1">
      <c r="A294" s="4" t="s">
        <v>103</v>
      </c>
      <c r="B294" s="5" t="s">
        <v>104</v>
      </c>
      <c r="C294" s="11">
        <v>36301.2</v>
      </c>
      <c r="D294" s="10" t="str">
        <f>HYPERLINK("http://www.usrc.it/AppRendiConta/det_460_20170707.pdf","DETERMINA N. 460 DEL 07/07/2017")</f>
        <v>DETERMINA N. 460 DEL 07/07/2017</v>
      </c>
      <c r="E294" s="5" t="s">
        <v>512</v>
      </c>
      <c r="F294" s="8" t="s">
        <v>12</v>
      </c>
      <c r="G294" s="8" t="s">
        <v>206</v>
      </c>
      <c r="H294" s="9"/>
      <c r="I294" s="9"/>
      <c r="J294" s="9"/>
      <c r="K294" s="9"/>
      <c r="L294" s="9"/>
      <c r="M294" s="9"/>
      <c r="N294" s="9"/>
      <c r="O294" s="9"/>
      <c r="P294" s="9"/>
    </row>
    <row r="295" ht="30.0" customHeight="1">
      <c r="A295" s="4" t="s">
        <v>193</v>
      </c>
      <c r="B295" s="5" t="s">
        <v>194</v>
      </c>
      <c r="C295" s="11">
        <v>25396.8</v>
      </c>
      <c r="D295" s="10" t="str">
        <f>HYPERLINK("http://www.usrc.it/AppRendiConta/det_461_20170707.pdf","DETERMINA N. 461 DEL 07/07/2017")</f>
        <v>DETERMINA N. 461 DEL 07/07/2017</v>
      </c>
      <c r="E295" s="5" t="s">
        <v>513</v>
      </c>
      <c r="F295" s="8" t="s">
        <v>12</v>
      </c>
      <c r="G295" s="8" t="s">
        <v>24</v>
      </c>
      <c r="H295" s="9"/>
      <c r="I295" s="9"/>
      <c r="J295" s="9"/>
      <c r="K295" s="9"/>
      <c r="L295" s="9"/>
      <c r="M295" s="9"/>
      <c r="N295" s="9"/>
      <c r="O295" s="9"/>
      <c r="P295" s="9"/>
    </row>
    <row r="296" ht="30.0" customHeight="1">
      <c r="A296" s="4" t="s">
        <v>63</v>
      </c>
      <c r="B296" s="5" t="s">
        <v>64</v>
      </c>
      <c r="C296" s="11">
        <v>48127.81</v>
      </c>
      <c r="D296" s="10" t="str">
        <f>HYPERLINK("http://www.usrc.it/AppRendiConta/det_462_20170707.pdf","DETERMINA N. 462 DEL 07/07/2017")</f>
        <v>DETERMINA N. 462 DEL 07/07/2017</v>
      </c>
      <c r="E296" s="5" t="s">
        <v>514</v>
      </c>
      <c r="F296" s="8" t="s">
        <v>12</v>
      </c>
      <c r="G296" s="8" t="s">
        <v>58</v>
      </c>
      <c r="H296" s="9"/>
      <c r="I296" s="9"/>
      <c r="J296" s="9"/>
      <c r="K296" s="9"/>
      <c r="L296" s="9"/>
      <c r="M296" s="9"/>
      <c r="N296" s="9"/>
      <c r="O296" s="9"/>
      <c r="P296" s="9"/>
    </row>
    <row r="297" ht="30.0" customHeight="1">
      <c r="A297" s="4" t="s">
        <v>515</v>
      </c>
      <c r="B297" s="5" t="s">
        <v>516</v>
      </c>
      <c r="C297" s="11">
        <v>254205.0</v>
      </c>
      <c r="D297" s="10" t="str">
        <f>HYPERLINK("http://www.usrc.it/AppRendiConta/det_463_20170707.pdf","DETERMINA N. 463 DEL 07/07/2017")</f>
        <v>DETERMINA N. 463 DEL 07/07/2017</v>
      </c>
      <c r="E297" s="5" t="s">
        <v>517</v>
      </c>
      <c r="F297" s="8" t="s">
        <v>12</v>
      </c>
      <c r="G297" s="8" t="s">
        <v>58</v>
      </c>
      <c r="H297" s="9"/>
      <c r="I297" s="9"/>
      <c r="J297" s="9"/>
      <c r="K297" s="9"/>
      <c r="L297" s="9"/>
      <c r="M297" s="9"/>
      <c r="N297" s="9"/>
      <c r="O297" s="9"/>
      <c r="P297" s="9"/>
    </row>
    <row r="298" ht="30.0" customHeight="1">
      <c r="A298" s="4" t="s">
        <v>152</v>
      </c>
      <c r="B298" s="5" t="s">
        <v>153</v>
      </c>
      <c r="C298" s="11">
        <v>151955.09</v>
      </c>
      <c r="D298" s="10" t="str">
        <f>HYPERLINK("http://www.usrc.it/AppRendiConta/det_468_20170714.pdf","DETERMINA N. 468 DEL 14/07/2017")</f>
        <v>DETERMINA N. 468 DEL 14/07/2017</v>
      </c>
      <c r="E298" s="5" t="s">
        <v>518</v>
      </c>
      <c r="F298" s="8" t="s">
        <v>12</v>
      </c>
      <c r="G298" s="8" t="s">
        <v>151</v>
      </c>
      <c r="H298" s="9"/>
      <c r="I298" s="9"/>
      <c r="J298" s="9"/>
      <c r="K298" s="9"/>
      <c r="L298" s="9"/>
      <c r="M298" s="9"/>
      <c r="N298" s="9"/>
      <c r="O298" s="9"/>
      <c r="P298" s="9"/>
    </row>
    <row r="299" ht="30.0" customHeight="1">
      <c r="A299" s="4" t="s">
        <v>299</v>
      </c>
      <c r="B299" s="5" t="s">
        <v>300</v>
      </c>
      <c r="C299" s="11">
        <v>87500.0</v>
      </c>
      <c r="D299" s="10" t="str">
        <f>HYPERLINK("http://www.usrc.it/AppRendiConta/det_469_20170714.pdf","DETERMINA N. 469 DEL 14/07/2017")</f>
        <v>DETERMINA N. 469 DEL 14/07/2017</v>
      </c>
      <c r="E299" s="5" t="s">
        <v>519</v>
      </c>
      <c r="F299" s="8" t="s">
        <v>12</v>
      </c>
      <c r="G299" s="8" t="s">
        <v>58</v>
      </c>
      <c r="H299" s="9"/>
      <c r="I299" s="9"/>
      <c r="J299" s="9"/>
      <c r="K299" s="9"/>
      <c r="L299" s="9"/>
      <c r="M299" s="9"/>
      <c r="N299" s="9"/>
      <c r="O299" s="9"/>
      <c r="P299" s="9"/>
    </row>
    <row r="300" ht="30.0" customHeight="1">
      <c r="A300" s="4" t="s">
        <v>159</v>
      </c>
      <c r="B300" s="5" t="s">
        <v>160</v>
      </c>
      <c r="C300" s="11">
        <v>14808.34</v>
      </c>
      <c r="D300" s="10" t="str">
        <f t="shared" ref="D300:D303" si="20">HYPERLINK("http://www.usrc.it/AppRendiConta/det_470_20170714.pdf","DETERMINA N. 470 DEL 14/07/2017")</f>
        <v>DETERMINA N. 470 DEL 14/07/2017</v>
      </c>
      <c r="E300" s="5" t="s">
        <v>520</v>
      </c>
      <c r="F300" s="8" t="s">
        <v>12</v>
      </c>
      <c r="G300" s="8" t="s">
        <v>521</v>
      </c>
      <c r="H300" s="9"/>
      <c r="I300" s="9"/>
      <c r="J300" s="9"/>
      <c r="K300" s="9"/>
      <c r="L300" s="9"/>
      <c r="M300" s="9"/>
      <c r="N300" s="9"/>
      <c r="O300" s="9"/>
      <c r="P300" s="9"/>
    </row>
    <row r="301" ht="30.0" customHeight="1">
      <c r="A301" s="4" t="s">
        <v>323</v>
      </c>
      <c r="B301" s="5" t="s">
        <v>324</v>
      </c>
      <c r="C301" s="11">
        <v>113400.0</v>
      </c>
      <c r="D301" s="10" t="str">
        <f t="shared" si="20"/>
        <v>DETERMINA N. 470 DEL 14/07/2017</v>
      </c>
      <c r="E301" s="5" t="s">
        <v>522</v>
      </c>
      <c r="F301" s="8" t="s">
        <v>12</v>
      </c>
      <c r="G301" s="8" t="s">
        <v>521</v>
      </c>
      <c r="H301" s="9"/>
      <c r="I301" s="9"/>
      <c r="J301" s="9"/>
      <c r="K301" s="9"/>
      <c r="L301" s="9"/>
      <c r="M301" s="9"/>
      <c r="N301" s="9"/>
      <c r="O301" s="9"/>
      <c r="P301" s="9"/>
    </row>
    <row r="302" ht="30.0" customHeight="1">
      <c r="A302" s="4" t="s">
        <v>256</v>
      </c>
      <c r="B302" s="5" t="s">
        <v>257</v>
      </c>
      <c r="C302" s="11">
        <v>75600.0</v>
      </c>
      <c r="D302" s="10" t="str">
        <f t="shared" si="20"/>
        <v>DETERMINA N. 470 DEL 14/07/2017</v>
      </c>
      <c r="E302" s="5" t="s">
        <v>523</v>
      </c>
      <c r="F302" s="8" t="s">
        <v>12</v>
      </c>
      <c r="G302" s="8" t="s">
        <v>521</v>
      </c>
      <c r="H302" s="9"/>
      <c r="I302" s="9"/>
      <c r="J302" s="9"/>
      <c r="K302" s="9"/>
      <c r="L302" s="9"/>
      <c r="M302" s="9"/>
      <c r="N302" s="9"/>
      <c r="O302" s="9"/>
      <c r="P302" s="9"/>
    </row>
    <row r="303" ht="30.0" customHeight="1">
      <c r="A303" s="4" t="s">
        <v>193</v>
      </c>
      <c r="B303" s="5" t="s">
        <v>194</v>
      </c>
      <c r="C303" s="11">
        <v>48600.0</v>
      </c>
      <c r="D303" s="10" t="str">
        <f t="shared" si="20"/>
        <v>DETERMINA N. 470 DEL 14/07/2017</v>
      </c>
      <c r="E303" s="5" t="s">
        <v>524</v>
      </c>
      <c r="F303" s="8" t="s">
        <v>12</v>
      </c>
      <c r="G303" s="8" t="s">
        <v>521</v>
      </c>
      <c r="H303" s="9"/>
      <c r="I303" s="9"/>
      <c r="J303" s="9"/>
      <c r="K303" s="9"/>
      <c r="L303" s="9"/>
      <c r="M303" s="9"/>
      <c r="N303" s="9"/>
      <c r="O303" s="9"/>
      <c r="P303" s="9"/>
    </row>
    <row r="304" ht="30.0" customHeight="1">
      <c r="A304" s="4" t="s">
        <v>198</v>
      </c>
      <c r="B304" s="5" t="s">
        <v>199</v>
      </c>
      <c r="C304" s="11">
        <v>39641.41</v>
      </c>
      <c r="D304" s="10" t="str">
        <f>HYPERLINK("http://www.usrc.it/AppRendiConta/det_471_20170714.pdf","DETERMINA N. 471 DEL 14/07/2017")</f>
        <v>DETERMINA N. 471 DEL 14/07/2017</v>
      </c>
      <c r="E304" s="5" t="s">
        <v>195</v>
      </c>
      <c r="F304" s="8" t="s">
        <v>12</v>
      </c>
      <c r="G304" s="8" t="s">
        <v>24</v>
      </c>
      <c r="H304" s="9"/>
      <c r="I304" s="9"/>
      <c r="J304" s="9"/>
      <c r="K304" s="9"/>
      <c r="L304" s="9"/>
      <c r="M304" s="9"/>
      <c r="N304" s="9"/>
      <c r="O304" s="9"/>
      <c r="P304" s="9"/>
    </row>
    <row r="305" ht="30.0" customHeight="1">
      <c r="A305" s="4" t="s">
        <v>29</v>
      </c>
      <c r="B305" s="5" t="s">
        <v>30</v>
      </c>
      <c r="C305" s="11">
        <v>2962471.32</v>
      </c>
      <c r="D305" s="10" t="str">
        <f>HYPERLINK("http://www.usrc.it/AppRendiConta/det_472_20170714.pdf","DETERMINA N. 472 DEL 14/07/2017")</f>
        <v>DETERMINA N. 472 DEL 14/07/2017</v>
      </c>
      <c r="E305" s="5" t="s">
        <v>525</v>
      </c>
      <c r="F305" s="8" t="s">
        <v>12</v>
      </c>
      <c r="G305" s="8" t="s">
        <v>526</v>
      </c>
      <c r="H305" s="9"/>
      <c r="I305" s="9"/>
      <c r="J305" s="9"/>
      <c r="K305" s="9"/>
      <c r="L305" s="9"/>
      <c r="M305" s="9"/>
      <c r="N305" s="9"/>
      <c r="O305" s="9"/>
      <c r="P305" s="9"/>
    </row>
    <row r="306" ht="30.0" customHeight="1">
      <c r="A306" s="4" t="s">
        <v>281</v>
      </c>
      <c r="B306" s="5" t="s">
        <v>282</v>
      </c>
      <c r="C306" s="11">
        <v>217804.58</v>
      </c>
      <c r="D306" s="10" t="str">
        <f>HYPERLINK("http://www.usrc.it/AppRendiConta/det_475_20170718.pdf","DETERMINA N. 475 DEL 18/07/2017")</f>
        <v>DETERMINA N. 475 DEL 18/07/2017</v>
      </c>
      <c r="E306" s="5" t="s">
        <v>527</v>
      </c>
      <c r="F306" s="8" t="s">
        <v>12</v>
      </c>
      <c r="G306" s="8" t="s">
        <v>13</v>
      </c>
      <c r="H306" s="9"/>
      <c r="I306" s="9"/>
      <c r="J306" s="9"/>
      <c r="K306" s="9"/>
      <c r="L306" s="9"/>
      <c r="M306" s="9"/>
      <c r="N306" s="9"/>
      <c r="O306" s="9"/>
      <c r="P306" s="9"/>
    </row>
    <row r="307" ht="30.0" customHeight="1">
      <c r="A307" s="4" t="s">
        <v>72</v>
      </c>
      <c r="B307" s="5" t="s">
        <v>73</v>
      </c>
      <c r="C307" s="11">
        <v>500389.61</v>
      </c>
      <c r="D307" s="10" t="str">
        <f>HYPERLINK("http://www.usrc.it/AppRendiConta/det_476_20170718.pdf","DETERMINA N. 476 DEL 18/07/2017")</f>
        <v>DETERMINA N. 476 DEL 18/07/2017</v>
      </c>
      <c r="E307" s="5" t="s">
        <v>528</v>
      </c>
      <c r="F307" s="8" t="s">
        <v>12</v>
      </c>
      <c r="G307" s="8" t="s">
        <v>13</v>
      </c>
      <c r="H307" s="9"/>
      <c r="I307" s="9"/>
      <c r="J307" s="9"/>
      <c r="K307" s="9"/>
      <c r="L307" s="9"/>
      <c r="M307" s="9"/>
      <c r="N307" s="9"/>
      <c r="O307" s="9"/>
      <c r="P307" s="9"/>
    </row>
    <row r="308" ht="30.0" customHeight="1">
      <c r="A308" s="4" t="s">
        <v>87</v>
      </c>
      <c r="B308" s="5" t="s">
        <v>88</v>
      </c>
      <c r="C308" s="11">
        <v>35437.96</v>
      </c>
      <c r="D308" s="10" t="str">
        <f>HYPERLINK("http://www.usrc.it/AppRendiConta/det_477_20170718.pdf","DETERMINA N. 477 DEL 18/07/2017")</f>
        <v>DETERMINA N. 477 DEL 18/07/2017</v>
      </c>
      <c r="E308" s="5" t="s">
        <v>529</v>
      </c>
      <c r="F308" s="8" t="s">
        <v>12</v>
      </c>
      <c r="G308" s="8" t="s">
        <v>24</v>
      </c>
      <c r="H308" s="9"/>
      <c r="I308" s="9"/>
      <c r="J308" s="9"/>
      <c r="K308" s="9"/>
      <c r="L308" s="9"/>
      <c r="M308" s="9"/>
      <c r="N308" s="9"/>
      <c r="O308" s="9"/>
      <c r="P308" s="9"/>
    </row>
    <row r="309" ht="30.0" customHeight="1">
      <c r="A309" s="4" t="s">
        <v>120</v>
      </c>
      <c r="B309" s="5" t="s">
        <v>121</v>
      </c>
      <c r="C309" s="11">
        <v>44991.8</v>
      </c>
      <c r="D309" s="10" t="str">
        <f>HYPERLINK("http://www.usrc.it/AppRendiConta/det_480_20170718.pdf","DETERMINA N. 480 DEL 18/07/2017")</f>
        <v>DETERMINA N. 480 DEL 18/07/2017</v>
      </c>
      <c r="E309" s="5" t="s">
        <v>530</v>
      </c>
      <c r="F309" s="8" t="s">
        <v>12</v>
      </c>
      <c r="G309" s="8" t="s">
        <v>24</v>
      </c>
      <c r="H309" s="9"/>
      <c r="I309" s="9"/>
      <c r="J309" s="9"/>
      <c r="K309" s="9"/>
      <c r="L309" s="9"/>
      <c r="M309" s="9"/>
      <c r="N309" s="9"/>
      <c r="O309" s="9"/>
      <c r="P309" s="9"/>
    </row>
    <row r="310" ht="30.0" customHeight="1">
      <c r="A310" s="4" t="s">
        <v>87</v>
      </c>
      <c r="B310" s="5" t="s">
        <v>88</v>
      </c>
      <c r="C310" s="11">
        <v>41593.6</v>
      </c>
      <c r="D310" s="10" t="str">
        <f>HYPERLINK("http://www.usrc.it/AppRendiConta/det_481_20170718.pdf","DETERMINA N. 481 DEL 18/07/2017")</f>
        <v>DETERMINA N. 481 DEL 18/07/2017</v>
      </c>
      <c r="E310" s="5" t="s">
        <v>531</v>
      </c>
      <c r="F310" s="8" t="s">
        <v>12</v>
      </c>
      <c r="G310" s="8" t="s">
        <v>24</v>
      </c>
      <c r="H310" s="9"/>
      <c r="I310" s="9"/>
      <c r="J310" s="9"/>
      <c r="K310" s="9"/>
      <c r="L310" s="9"/>
      <c r="M310" s="9"/>
      <c r="N310" s="9"/>
      <c r="O310" s="9"/>
      <c r="P310" s="9"/>
    </row>
    <row r="311" ht="30.0" customHeight="1">
      <c r="A311" s="4" t="s">
        <v>108</v>
      </c>
      <c r="B311" s="5" t="s">
        <v>109</v>
      </c>
      <c r="C311" s="11">
        <v>18253.2</v>
      </c>
      <c r="D311" s="10" t="str">
        <f t="shared" ref="D311:D318" si="21">HYPERLINK("http://www.usrc.it/AppRendiConta/det_482_20170720.pdf","DETERMINA N. 482 DEL 20/07/2017")</f>
        <v>DETERMINA N. 482 DEL 20/07/2017</v>
      </c>
      <c r="E311" s="5" t="s">
        <v>532</v>
      </c>
      <c r="F311" s="8" t="s">
        <v>12</v>
      </c>
      <c r="G311" s="8" t="s">
        <v>366</v>
      </c>
      <c r="H311" s="9"/>
      <c r="I311" s="9"/>
      <c r="J311" s="9"/>
      <c r="K311" s="9"/>
      <c r="L311" s="9"/>
      <c r="M311" s="9"/>
      <c r="N311" s="9"/>
      <c r="O311" s="9"/>
      <c r="P311" s="9"/>
    </row>
    <row r="312" ht="30.0" customHeight="1">
      <c r="A312" s="4" t="s">
        <v>172</v>
      </c>
      <c r="B312" s="13" t="s">
        <v>173</v>
      </c>
      <c r="C312" s="11">
        <v>4086.0</v>
      </c>
      <c r="D312" s="10" t="str">
        <f t="shared" si="21"/>
        <v>DETERMINA N. 482 DEL 20/07/2017</v>
      </c>
      <c r="E312" s="5" t="s">
        <v>533</v>
      </c>
      <c r="F312" s="8" t="s">
        <v>12</v>
      </c>
      <c r="G312" s="8" t="s">
        <v>366</v>
      </c>
      <c r="H312" s="9"/>
      <c r="I312" s="9"/>
      <c r="J312" s="9"/>
      <c r="K312" s="9"/>
      <c r="L312" s="9"/>
      <c r="M312" s="9"/>
      <c r="N312" s="9"/>
      <c r="O312" s="9"/>
      <c r="P312" s="9"/>
    </row>
    <row r="313" ht="30.0" customHeight="1">
      <c r="A313" s="4" t="s">
        <v>175</v>
      </c>
      <c r="B313" s="13" t="s">
        <v>176</v>
      </c>
      <c r="C313" s="11">
        <v>7320.0</v>
      </c>
      <c r="D313" s="10" t="str">
        <f t="shared" si="21"/>
        <v>DETERMINA N. 482 DEL 20/07/2017</v>
      </c>
      <c r="E313" s="8" t="s">
        <v>534</v>
      </c>
      <c r="F313" s="8" t="s">
        <v>12</v>
      </c>
      <c r="G313" s="8" t="s">
        <v>366</v>
      </c>
      <c r="H313" s="9"/>
      <c r="I313" s="9"/>
      <c r="J313" s="9"/>
      <c r="K313" s="9"/>
      <c r="L313" s="9"/>
      <c r="M313" s="9"/>
      <c r="N313" s="9"/>
      <c r="O313" s="9"/>
      <c r="P313" s="9"/>
    </row>
    <row r="314" ht="30.0" customHeight="1">
      <c r="A314" s="4" t="s">
        <v>93</v>
      </c>
      <c r="B314" s="13" t="s">
        <v>94</v>
      </c>
      <c r="C314" s="11">
        <v>4020.6</v>
      </c>
      <c r="D314" s="10" t="str">
        <f t="shared" si="21"/>
        <v>DETERMINA N. 482 DEL 20/07/2017</v>
      </c>
      <c r="E314" s="8" t="s">
        <v>535</v>
      </c>
      <c r="F314" s="8" t="s">
        <v>12</v>
      </c>
      <c r="G314" s="8" t="s">
        <v>366</v>
      </c>
      <c r="H314" s="9"/>
      <c r="I314" s="9"/>
      <c r="J314" s="9"/>
      <c r="K314" s="9"/>
      <c r="L314" s="9"/>
      <c r="M314" s="9"/>
      <c r="N314" s="9"/>
      <c r="O314" s="9"/>
      <c r="P314" s="9"/>
    </row>
    <row r="315" ht="30.0" customHeight="1">
      <c r="A315" s="4" t="s">
        <v>159</v>
      </c>
      <c r="B315" s="13" t="s">
        <v>160</v>
      </c>
      <c r="C315" s="11">
        <v>2403.4</v>
      </c>
      <c r="D315" s="10" t="str">
        <f t="shared" si="21"/>
        <v>DETERMINA N. 482 DEL 20/07/2017</v>
      </c>
      <c r="E315" s="8" t="s">
        <v>536</v>
      </c>
      <c r="F315" s="8" t="s">
        <v>12</v>
      </c>
      <c r="G315" s="8" t="s">
        <v>366</v>
      </c>
      <c r="H315" s="9"/>
      <c r="I315" s="9"/>
      <c r="J315" s="9"/>
      <c r="K315" s="9"/>
      <c r="L315" s="9"/>
      <c r="M315" s="9"/>
      <c r="N315" s="9"/>
      <c r="O315" s="9"/>
      <c r="P315" s="9"/>
    </row>
    <row r="316" ht="30.0" customHeight="1">
      <c r="A316" s="4" t="s">
        <v>95</v>
      </c>
      <c r="B316" s="13" t="s">
        <v>96</v>
      </c>
      <c r="C316" s="11">
        <v>5815.62</v>
      </c>
      <c r="D316" s="10" t="str">
        <f t="shared" si="21"/>
        <v>DETERMINA N. 482 DEL 20/07/2017</v>
      </c>
      <c r="E316" s="5" t="s">
        <v>532</v>
      </c>
      <c r="F316" s="8" t="s">
        <v>12</v>
      </c>
      <c r="G316" s="8" t="s">
        <v>366</v>
      </c>
      <c r="H316" s="9"/>
      <c r="I316" s="9"/>
      <c r="J316" s="9"/>
      <c r="K316" s="9"/>
      <c r="L316" s="9"/>
      <c r="M316" s="9"/>
      <c r="N316" s="9"/>
      <c r="O316" s="9"/>
      <c r="P316" s="9"/>
    </row>
    <row r="317" ht="30.0" customHeight="1">
      <c r="A317" s="4" t="s">
        <v>32</v>
      </c>
      <c r="B317" s="13" t="s">
        <v>33</v>
      </c>
      <c r="C317" s="11">
        <v>2566.4</v>
      </c>
      <c r="D317" s="10" t="str">
        <f t="shared" si="21"/>
        <v>DETERMINA N. 482 DEL 20/07/2017</v>
      </c>
      <c r="E317" s="5" t="s">
        <v>537</v>
      </c>
      <c r="F317" s="8" t="s">
        <v>12</v>
      </c>
      <c r="G317" s="8" t="s">
        <v>366</v>
      </c>
      <c r="H317" s="9"/>
      <c r="I317" s="9"/>
      <c r="J317" s="9"/>
      <c r="K317" s="9"/>
      <c r="L317" s="9"/>
      <c r="M317" s="9"/>
      <c r="N317" s="9"/>
      <c r="O317" s="9"/>
      <c r="P317" s="9"/>
    </row>
    <row r="318" ht="30.0" customHeight="1">
      <c r="A318" s="4" t="s">
        <v>334</v>
      </c>
      <c r="B318" s="13" t="s">
        <v>335</v>
      </c>
      <c r="C318" s="11">
        <v>11279.0</v>
      </c>
      <c r="D318" s="10" t="str">
        <f t="shared" si="21"/>
        <v>DETERMINA N. 482 DEL 20/07/2017</v>
      </c>
      <c r="E318" s="5" t="s">
        <v>538</v>
      </c>
      <c r="F318" s="8" t="s">
        <v>12</v>
      </c>
      <c r="G318" s="8" t="s">
        <v>366</v>
      </c>
      <c r="H318" s="9"/>
      <c r="I318" s="9"/>
      <c r="J318" s="9"/>
      <c r="K318" s="9"/>
      <c r="L318" s="9"/>
      <c r="M318" s="9"/>
      <c r="N318" s="9"/>
      <c r="O318" s="9"/>
      <c r="P318" s="9"/>
    </row>
    <row r="319" ht="30.0" customHeight="1">
      <c r="A319" s="4" t="s">
        <v>539</v>
      </c>
      <c r="B319" s="13" t="s">
        <v>540</v>
      </c>
      <c r="C319" s="11">
        <v>163108.33</v>
      </c>
      <c r="D319" s="10" t="str">
        <f t="shared" ref="D319:D322" si="22">HYPERLINK("http://www.usrc.it/AppRendiConta/det_483_20170720.pdf","DETERMINA N. 483 DEL 20/07/2017")</f>
        <v>DETERMINA N. 483 DEL 20/07/2017</v>
      </c>
      <c r="E319" s="5" t="s">
        <v>541</v>
      </c>
      <c r="F319" s="8" t="s">
        <v>12</v>
      </c>
      <c r="G319" s="8" t="s">
        <v>366</v>
      </c>
      <c r="H319" s="9"/>
      <c r="I319" s="9"/>
      <c r="J319" s="9"/>
      <c r="K319" s="9"/>
      <c r="L319" s="9"/>
      <c r="M319" s="9"/>
      <c r="N319" s="9"/>
      <c r="O319" s="9"/>
      <c r="P319" s="9"/>
    </row>
    <row r="320" ht="30.0" customHeight="1">
      <c r="A320" s="4" t="s">
        <v>172</v>
      </c>
      <c r="B320" s="5" t="s">
        <v>173</v>
      </c>
      <c r="C320" s="11">
        <v>1800.0</v>
      </c>
      <c r="D320" s="10" t="str">
        <f t="shared" si="22"/>
        <v>DETERMINA N. 483 DEL 20/07/2017</v>
      </c>
      <c r="E320" s="5" t="s">
        <v>542</v>
      </c>
      <c r="F320" s="8" t="s">
        <v>12</v>
      </c>
      <c r="G320" s="8" t="s">
        <v>366</v>
      </c>
      <c r="H320" s="9"/>
      <c r="I320" s="9"/>
      <c r="J320" s="9"/>
      <c r="K320" s="9"/>
      <c r="L320" s="9"/>
      <c r="M320" s="9"/>
      <c r="N320" s="9"/>
      <c r="O320" s="9"/>
      <c r="P320" s="9"/>
    </row>
    <row r="321" ht="30.0" customHeight="1">
      <c r="A321" s="4" t="s">
        <v>231</v>
      </c>
      <c r="B321" s="13" t="s">
        <v>232</v>
      </c>
      <c r="C321" s="11">
        <v>3300.0</v>
      </c>
      <c r="D321" s="10" t="str">
        <f t="shared" si="22"/>
        <v>DETERMINA N. 483 DEL 20/07/2017</v>
      </c>
      <c r="E321" s="5" t="s">
        <v>543</v>
      </c>
      <c r="F321" s="8" t="s">
        <v>12</v>
      </c>
      <c r="G321" s="8" t="s">
        <v>366</v>
      </c>
      <c r="H321" s="9"/>
      <c r="I321" s="9"/>
      <c r="J321" s="9"/>
      <c r="K321" s="9"/>
      <c r="L321" s="9"/>
      <c r="M321" s="9"/>
      <c r="N321" s="9"/>
      <c r="O321" s="9"/>
      <c r="P321" s="9"/>
    </row>
    <row r="322" ht="30.0" customHeight="1">
      <c r="A322" s="4" t="s">
        <v>117</v>
      </c>
      <c r="B322" s="13" t="s">
        <v>118</v>
      </c>
      <c r="C322" s="11">
        <v>5100.0</v>
      </c>
      <c r="D322" s="10" t="str">
        <f t="shared" si="22"/>
        <v>DETERMINA N. 483 DEL 20/07/2017</v>
      </c>
      <c r="E322" s="5" t="s">
        <v>544</v>
      </c>
      <c r="F322" s="8" t="s">
        <v>12</v>
      </c>
      <c r="G322" s="8" t="s">
        <v>366</v>
      </c>
      <c r="H322" s="9"/>
      <c r="I322" s="9"/>
      <c r="J322" s="9"/>
      <c r="K322" s="9"/>
      <c r="L322" s="9"/>
      <c r="M322" s="9"/>
      <c r="N322" s="9"/>
      <c r="O322" s="9"/>
      <c r="P322" s="9"/>
    </row>
    <row r="323" ht="30.0" customHeight="1">
      <c r="A323" s="4" t="s">
        <v>39</v>
      </c>
      <c r="B323" s="13" t="s">
        <v>40</v>
      </c>
      <c r="C323" s="11">
        <v>10000.0</v>
      </c>
      <c r="D323" s="10" t="str">
        <f>HYPERLINK("http://www.usrc.it/AppRendiConta/det_484_20170720.pdf","DETERMINA N. 484 DEL 20/07/2017")</f>
        <v>DETERMINA N. 484 DEL 20/07/2017</v>
      </c>
      <c r="E323" s="5" t="s">
        <v>545</v>
      </c>
      <c r="F323" s="8" t="s">
        <v>12</v>
      </c>
      <c r="G323" s="8" t="s">
        <v>228</v>
      </c>
      <c r="H323" s="9"/>
      <c r="I323" s="9"/>
      <c r="J323" s="9"/>
      <c r="K323" s="9"/>
      <c r="L323" s="9"/>
      <c r="M323" s="9"/>
      <c r="N323" s="9"/>
      <c r="O323" s="9"/>
      <c r="P323" s="9"/>
    </row>
    <row r="324" ht="30.0" customHeight="1">
      <c r="A324" s="4" t="s">
        <v>470</v>
      </c>
      <c r="B324" s="13" t="s">
        <v>471</v>
      </c>
      <c r="C324" s="11">
        <v>8880.0</v>
      </c>
      <c r="D324" s="10" t="str">
        <f t="shared" ref="D324:D326" si="23">HYPERLINK("http://www.usrc.it/AppRendiConta/det_485_20170720.pdf","DETERMINA N. 485 DEL 20/07/2017")</f>
        <v>DETERMINA N. 485 DEL 20/07/2017</v>
      </c>
      <c r="E324" s="5" t="s">
        <v>546</v>
      </c>
      <c r="F324" s="8" t="s">
        <v>12</v>
      </c>
      <c r="G324" s="8" t="s">
        <v>86</v>
      </c>
      <c r="H324" s="9"/>
      <c r="I324" s="9"/>
      <c r="J324" s="9"/>
      <c r="K324" s="9"/>
      <c r="L324" s="9"/>
      <c r="M324" s="9"/>
      <c r="N324" s="9"/>
      <c r="O324" s="9"/>
      <c r="P324" s="9"/>
    </row>
    <row r="325" ht="30.0" customHeight="1">
      <c r="A325" s="4" t="s">
        <v>547</v>
      </c>
      <c r="B325" s="13" t="s">
        <v>548</v>
      </c>
      <c r="C325" s="11">
        <v>9000.0</v>
      </c>
      <c r="D325" s="10" t="str">
        <f t="shared" si="23"/>
        <v>DETERMINA N. 485 DEL 20/07/2017</v>
      </c>
      <c r="E325" s="5" t="s">
        <v>546</v>
      </c>
      <c r="F325" s="8" t="s">
        <v>12</v>
      </c>
      <c r="G325" s="8" t="s">
        <v>86</v>
      </c>
      <c r="H325" s="9"/>
      <c r="I325" s="9"/>
      <c r="J325" s="9"/>
      <c r="K325" s="9"/>
      <c r="L325" s="9"/>
      <c r="M325" s="9"/>
      <c r="N325" s="9"/>
      <c r="O325" s="9"/>
      <c r="P325" s="9"/>
    </row>
    <row r="326" ht="30.0" customHeight="1">
      <c r="A326" s="4" t="s">
        <v>193</v>
      </c>
      <c r="B326" s="5" t="s">
        <v>194</v>
      </c>
      <c r="C326" s="11">
        <v>3600.0</v>
      </c>
      <c r="D326" s="10" t="str">
        <f t="shared" si="23"/>
        <v>DETERMINA N. 485 DEL 20/07/2017</v>
      </c>
      <c r="E326" s="5" t="s">
        <v>549</v>
      </c>
      <c r="F326" s="8" t="s">
        <v>12</v>
      </c>
      <c r="G326" s="8" t="s">
        <v>86</v>
      </c>
      <c r="H326" s="9"/>
      <c r="I326" s="9"/>
      <c r="J326" s="9"/>
      <c r="K326" s="9"/>
      <c r="L326" s="9"/>
      <c r="M326" s="9"/>
      <c r="N326" s="9"/>
      <c r="O326" s="9"/>
      <c r="P326" s="9"/>
    </row>
    <row r="327" ht="30.0" customHeight="1">
      <c r="A327" s="4" t="s">
        <v>323</v>
      </c>
      <c r="B327" s="13" t="s">
        <v>324</v>
      </c>
      <c r="C327" s="11">
        <v>3600.0</v>
      </c>
      <c r="D327" s="10" t="str">
        <f t="shared" ref="D327:D334" si="24">HYPERLINK("http://www.usrc.it/AppRendiConta/det_486_20170720.pdf","DETERMINA N. 486 DEL 20/07/2017")</f>
        <v>DETERMINA N. 486 DEL 20/07/2017</v>
      </c>
      <c r="E327" s="5" t="s">
        <v>550</v>
      </c>
      <c r="F327" s="8" t="s">
        <v>12</v>
      </c>
      <c r="G327" s="8" t="s">
        <v>551</v>
      </c>
      <c r="H327" s="9"/>
      <c r="I327" s="9"/>
      <c r="J327" s="9"/>
      <c r="K327" s="9"/>
      <c r="L327" s="9"/>
      <c r="M327" s="9"/>
      <c r="N327" s="9"/>
      <c r="O327" s="9"/>
      <c r="P327" s="9"/>
    </row>
    <row r="328" ht="30.0" customHeight="1">
      <c r="A328" s="4" t="s">
        <v>175</v>
      </c>
      <c r="B328" s="13" t="s">
        <v>176</v>
      </c>
      <c r="C328" s="11">
        <v>5008.0</v>
      </c>
      <c r="D328" s="10" t="str">
        <f t="shared" si="24"/>
        <v>DETERMINA N. 486 DEL 20/07/2017</v>
      </c>
      <c r="E328" s="5" t="s">
        <v>458</v>
      </c>
      <c r="F328" s="8" t="s">
        <v>12</v>
      </c>
      <c r="G328" s="8" t="s">
        <v>551</v>
      </c>
      <c r="H328" s="9"/>
      <c r="I328" s="9"/>
      <c r="J328" s="9"/>
      <c r="K328" s="9"/>
      <c r="L328" s="9"/>
      <c r="M328" s="9"/>
      <c r="N328" s="9"/>
      <c r="O328" s="9"/>
      <c r="P328" s="9"/>
    </row>
    <row r="329" ht="30.0" customHeight="1">
      <c r="A329" s="4" t="s">
        <v>117</v>
      </c>
      <c r="B329" s="13" t="s">
        <v>118</v>
      </c>
      <c r="C329" s="11">
        <v>1800.0</v>
      </c>
      <c r="D329" s="10" t="str">
        <f t="shared" si="24"/>
        <v>DETERMINA N. 486 DEL 20/07/2017</v>
      </c>
      <c r="E329" s="5" t="s">
        <v>552</v>
      </c>
      <c r="F329" s="8" t="s">
        <v>12</v>
      </c>
      <c r="G329" s="8" t="s">
        <v>551</v>
      </c>
      <c r="H329" s="9"/>
      <c r="I329" s="9"/>
      <c r="J329" s="9"/>
      <c r="K329" s="9"/>
      <c r="L329" s="9"/>
      <c r="M329" s="9"/>
      <c r="N329" s="9"/>
      <c r="O329" s="9"/>
      <c r="P329" s="9"/>
    </row>
    <row r="330" ht="30.0" customHeight="1">
      <c r="A330" s="4" t="s">
        <v>103</v>
      </c>
      <c r="B330" s="13" t="s">
        <v>104</v>
      </c>
      <c r="C330" s="11">
        <v>1800.0</v>
      </c>
      <c r="D330" s="10" t="str">
        <f t="shared" si="24"/>
        <v>DETERMINA N. 486 DEL 20/07/2017</v>
      </c>
      <c r="E330" s="5" t="s">
        <v>553</v>
      </c>
      <c r="F330" s="8" t="s">
        <v>12</v>
      </c>
      <c r="G330" s="8" t="s">
        <v>551</v>
      </c>
      <c r="H330" s="9"/>
      <c r="I330" s="9"/>
      <c r="J330" s="9"/>
      <c r="K330" s="9"/>
      <c r="L330" s="9"/>
      <c r="M330" s="9"/>
      <c r="N330" s="9"/>
      <c r="O330" s="9"/>
      <c r="P330" s="9"/>
    </row>
    <row r="331" ht="30.0" customHeight="1">
      <c r="A331" s="4" t="s">
        <v>159</v>
      </c>
      <c r="B331" s="13" t="s">
        <v>160</v>
      </c>
      <c r="C331" s="11">
        <v>7200.0</v>
      </c>
      <c r="D331" s="10" t="str">
        <f t="shared" si="24"/>
        <v>DETERMINA N. 486 DEL 20/07/2017</v>
      </c>
      <c r="E331" s="5" t="s">
        <v>458</v>
      </c>
      <c r="F331" s="8" t="s">
        <v>12</v>
      </c>
      <c r="G331" s="8" t="s">
        <v>551</v>
      </c>
      <c r="H331" s="9"/>
      <c r="I331" s="9"/>
      <c r="J331" s="9"/>
      <c r="K331" s="9"/>
      <c r="L331" s="9"/>
      <c r="M331" s="9"/>
      <c r="N331" s="9"/>
      <c r="O331" s="9"/>
      <c r="P331" s="9"/>
    </row>
    <row r="332" ht="30.0" customHeight="1">
      <c r="A332" s="4" t="s">
        <v>87</v>
      </c>
      <c r="B332" s="13" t="s">
        <v>88</v>
      </c>
      <c r="C332" s="11">
        <v>10800.0</v>
      </c>
      <c r="D332" s="10" t="str">
        <f t="shared" si="24"/>
        <v>DETERMINA N. 486 DEL 20/07/2017</v>
      </c>
      <c r="E332" s="5" t="s">
        <v>554</v>
      </c>
      <c r="F332" s="8" t="s">
        <v>12</v>
      </c>
      <c r="G332" s="8" t="s">
        <v>551</v>
      </c>
      <c r="H332" s="9"/>
      <c r="I332" s="9"/>
      <c r="J332" s="9"/>
      <c r="K332" s="9"/>
      <c r="L332" s="9"/>
      <c r="M332" s="9"/>
      <c r="N332" s="9"/>
      <c r="O332" s="9"/>
      <c r="P332" s="9"/>
    </row>
    <row r="333" ht="30.0" customHeight="1">
      <c r="A333" s="4" t="s">
        <v>193</v>
      </c>
      <c r="B333" s="5" t="s">
        <v>194</v>
      </c>
      <c r="C333" s="11">
        <v>10800.0</v>
      </c>
      <c r="D333" s="10" t="str">
        <f t="shared" si="24"/>
        <v>DETERMINA N. 486 DEL 20/07/2017</v>
      </c>
      <c r="E333" s="5" t="s">
        <v>555</v>
      </c>
      <c r="F333" s="8" t="s">
        <v>12</v>
      </c>
      <c r="G333" s="8" t="s">
        <v>551</v>
      </c>
      <c r="H333" s="9"/>
      <c r="I333" s="9"/>
      <c r="J333" s="9"/>
      <c r="K333" s="9"/>
      <c r="L333" s="9"/>
      <c r="M333" s="9"/>
      <c r="N333" s="9"/>
      <c r="O333" s="9"/>
      <c r="P333" s="9"/>
    </row>
    <row r="334" ht="30.0" customHeight="1">
      <c r="A334" s="4" t="s">
        <v>276</v>
      </c>
      <c r="B334" s="13" t="s">
        <v>277</v>
      </c>
      <c r="C334" s="11">
        <v>9000.0</v>
      </c>
      <c r="D334" s="10" t="str">
        <f t="shared" si="24"/>
        <v>DETERMINA N. 486 DEL 20/07/2017</v>
      </c>
      <c r="E334" s="5" t="s">
        <v>556</v>
      </c>
      <c r="F334" s="8" t="s">
        <v>12</v>
      </c>
      <c r="G334" s="8" t="s">
        <v>551</v>
      </c>
      <c r="H334" s="9"/>
      <c r="I334" s="9"/>
      <c r="J334" s="9"/>
      <c r="K334" s="9"/>
      <c r="L334" s="9"/>
      <c r="M334" s="9"/>
      <c r="N334" s="9"/>
      <c r="O334" s="9"/>
      <c r="P334" s="9"/>
    </row>
    <row r="335" ht="30.0" customHeight="1">
      <c r="A335" s="4" t="s">
        <v>128</v>
      </c>
      <c r="B335" s="13" t="s">
        <v>129</v>
      </c>
      <c r="C335" s="11">
        <v>219194.52</v>
      </c>
      <c r="D335" s="10" t="str">
        <f>HYPERLINK("http://www.usrc.it/AppRendiConta/det_487_20170720.pdf","DETERMINA N. 487 DEL 20/07/2017")</f>
        <v>DETERMINA N. 487 DEL 20/07/2017</v>
      </c>
      <c r="E335" s="5" t="s">
        <v>557</v>
      </c>
      <c r="F335" s="8" t="s">
        <v>12</v>
      </c>
      <c r="G335" s="8" t="s">
        <v>13</v>
      </c>
      <c r="H335" s="9"/>
      <c r="I335" s="9"/>
      <c r="J335" s="9"/>
      <c r="K335" s="9"/>
      <c r="L335" s="9"/>
      <c r="M335" s="9"/>
      <c r="N335" s="9"/>
      <c r="O335" s="9"/>
      <c r="P335" s="9"/>
    </row>
    <row r="336" ht="30.0" customHeight="1">
      <c r="A336" s="4" t="s">
        <v>558</v>
      </c>
      <c r="B336" s="13" t="s">
        <v>559</v>
      </c>
      <c r="C336" s="11">
        <v>1000932.88</v>
      </c>
      <c r="D336" s="10" t="str">
        <f>HYPERLINK("http://www.usrc.it/AppRendiConta/det_488_20170720.pdf","DETERMINA N. 488 DEL 20/07/2017")</f>
        <v>DETERMINA N. 488 DEL 20/07/2017</v>
      </c>
      <c r="E336" s="5" t="s">
        <v>560</v>
      </c>
      <c r="F336" s="8" t="s">
        <v>12</v>
      </c>
      <c r="G336" s="8" t="s">
        <v>13</v>
      </c>
      <c r="H336" s="9"/>
      <c r="I336" s="9"/>
      <c r="J336" s="9"/>
      <c r="K336" s="9"/>
      <c r="L336" s="9"/>
      <c r="M336" s="9"/>
      <c r="N336" s="9"/>
      <c r="O336" s="9"/>
      <c r="P336" s="9"/>
    </row>
    <row r="337" ht="30.0" customHeight="1">
      <c r="A337" s="4" t="s">
        <v>296</v>
      </c>
      <c r="B337" s="12" t="s">
        <v>297</v>
      </c>
      <c r="C337" s="11">
        <v>86382.59</v>
      </c>
      <c r="D337" s="10" t="str">
        <f>HYPERLINK("http://www.usrc.it/AppRendiConta/det_493_20170720.pdf","DETERMINA N. 493 DEL 20/07/2017")</f>
        <v>DETERMINA N. 493 DEL 20/07/2017</v>
      </c>
      <c r="E337" s="5" t="s">
        <v>561</v>
      </c>
      <c r="F337" s="8" t="s">
        <v>12</v>
      </c>
      <c r="G337" s="8" t="s">
        <v>58</v>
      </c>
      <c r="H337" s="9"/>
      <c r="I337" s="9"/>
      <c r="J337" s="9"/>
      <c r="K337" s="9"/>
      <c r="L337" s="9"/>
      <c r="M337" s="9"/>
      <c r="N337" s="9"/>
      <c r="O337" s="9"/>
      <c r="P337" s="9"/>
    </row>
    <row r="338" ht="30.0" customHeight="1">
      <c r="A338" s="4" t="s">
        <v>32</v>
      </c>
      <c r="B338" s="12" t="s">
        <v>33</v>
      </c>
      <c r="C338" s="11">
        <v>128748.35</v>
      </c>
      <c r="D338" s="10" t="str">
        <f>HYPERLINK("http://www.usrc.it/AppRendiConta/det_501_20170724.pdf","DETERMINA N. 501 DEL 24/07/2017")</f>
        <v>DETERMINA N. 501 DEL 24/07/2017</v>
      </c>
      <c r="E338" s="5" t="s">
        <v>562</v>
      </c>
      <c r="F338" s="8" t="s">
        <v>12</v>
      </c>
      <c r="G338" s="8" t="s">
        <v>206</v>
      </c>
      <c r="H338" s="9"/>
      <c r="I338" s="9"/>
      <c r="J338" s="9"/>
      <c r="K338" s="9"/>
      <c r="L338" s="9"/>
      <c r="M338" s="9"/>
      <c r="N338" s="9"/>
      <c r="O338" s="9"/>
      <c r="P338" s="9"/>
    </row>
    <row r="339" ht="30.0" customHeight="1">
      <c r="A339" s="4" t="s">
        <v>21</v>
      </c>
      <c r="B339" s="12" t="s">
        <v>22</v>
      </c>
      <c r="C339" s="11">
        <v>14966.94</v>
      </c>
      <c r="D339" s="10" t="str">
        <f>HYPERLINK("http://www.usrc.it/AppRendiConta/det_502_20170724.pdf","DETERMINA N. 502 DEL 24/07/2017")</f>
        <v>DETERMINA N. 502 DEL 24/07/2017</v>
      </c>
      <c r="E339" s="5" t="s">
        <v>563</v>
      </c>
      <c r="F339" s="8" t="s">
        <v>12</v>
      </c>
      <c r="G339" s="8" t="s">
        <v>24</v>
      </c>
      <c r="H339" s="9"/>
      <c r="I339" s="9"/>
      <c r="J339" s="9"/>
      <c r="K339" s="9"/>
      <c r="L339" s="9"/>
      <c r="M339" s="9"/>
      <c r="N339" s="9"/>
      <c r="O339" s="9"/>
      <c r="P339" s="9"/>
    </row>
    <row r="340" ht="30.0" customHeight="1">
      <c r="A340" s="4" t="s">
        <v>32</v>
      </c>
      <c r="B340" s="13" t="s">
        <v>33</v>
      </c>
      <c r="C340" s="11">
        <v>10916.0</v>
      </c>
      <c r="D340" s="10" t="str">
        <f>HYPERLINK("http://www.usrc.it/AppRendiConta/det_503_20170724.pdf","DETERMINA N. 503 DEL 24/07/2017")</f>
        <v>DETERMINA N. 503 DEL 24/07/2017</v>
      </c>
      <c r="E340" s="5" t="s">
        <v>564</v>
      </c>
      <c r="F340" s="8" t="s">
        <v>12</v>
      </c>
      <c r="G340" s="8" t="s">
        <v>565</v>
      </c>
      <c r="H340" s="9"/>
      <c r="I340" s="9"/>
      <c r="J340" s="9"/>
      <c r="K340" s="9"/>
      <c r="L340" s="9"/>
      <c r="M340" s="9"/>
      <c r="N340" s="9"/>
      <c r="O340" s="9"/>
      <c r="P340" s="9"/>
    </row>
    <row r="341" ht="30.0" customHeight="1">
      <c r="A341" s="4" t="s">
        <v>21</v>
      </c>
      <c r="B341" s="13" t="s">
        <v>22</v>
      </c>
      <c r="C341" s="11">
        <v>106785.22</v>
      </c>
      <c r="D341" s="10" t="str">
        <f>HYPERLINK("http://www.usrc.it/AppRendiConta/det_504_20170724.pdf","DETERMINA N. 504 DEL 24/07/2017")</f>
        <v>DETERMINA N. 504 DEL 24/07/2017</v>
      </c>
      <c r="E341" s="5" t="s">
        <v>566</v>
      </c>
      <c r="F341" s="8" t="s">
        <v>12</v>
      </c>
      <c r="G341" s="8" t="s">
        <v>24</v>
      </c>
      <c r="H341" s="9"/>
      <c r="I341" s="9"/>
      <c r="J341" s="9"/>
      <c r="K341" s="9"/>
      <c r="L341" s="9"/>
      <c r="M341" s="9"/>
      <c r="N341" s="9"/>
      <c r="O341" s="9"/>
      <c r="P341" s="9"/>
    </row>
    <row r="342" ht="30.0" customHeight="1">
      <c r="A342" s="4" t="s">
        <v>164</v>
      </c>
      <c r="B342" s="12" t="s">
        <v>567</v>
      </c>
      <c r="C342" s="11">
        <v>113222.02</v>
      </c>
      <c r="D342" s="10" t="str">
        <f>HYPERLINK("http://www.usrc.it/AppRendiConta/det_513_20170726.pdf","DETERMINA N. 513 DEL 26/07/2017")</f>
        <v>DETERMINA N. 513 DEL 26/07/2017</v>
      </c>
      <c r="E342" s="5" t="s">
        <v>568</v>
      </c>
      <c r="F342" s="8" t="s">
        <v>12</v>
      </c>
      <c r="G342" s="8" t="s">
        <v>151</v>
      </c>
      <c r="H342" s="9"/>
      <c r="I342" s="9"/>
      <c r="J342" s="9"/>
      <c r="K342" s="9"/>
      <c r="L342" s="9"/>
      <c r="M342" s="9"/>
      <c r="N342" s="9"/>
      <c r="O342" s="9"/>
      <c r="P342" s="9"/>
    </row>
    <row r="343" ht="30.0" customHeight="1">
      <c r="A343" s="4" t="s">
        <v>363</v>
      </c>
      <c r="B343" s="12" t="s">
        <v>364</v>
      </c>
      <c r="C343" s="11">
        <v>51300.32</v>
      </c>
      <c r="D343" s="10" t="str">
        <f>HYPERLINK("http://www.usrc.it/AppRendiConta/det_514_20170731.pdf","DETERMINA N. 514 DEL 31/07/2017")</f>
        <v>DETERMINA N. 514 DEL 31/07/2017</v>
      </c>
      <c r="E343" s="5" t="s">
        <v>569</v>
      </c>
      <c r="F343" s="8" t="s">
        <v>12</v>
      </c>
      <c r="G343" s="8" t="s">
        <v>366</v>
      </c>
      <c r="H343" s="9"/>
      <c r="I343" s="9"/>
      <c r="J343" s="9"/>
      <c r="K343" s="9"/>
      <c r="L343" s="9"/>
      <c r="M343" s="9"/>
      <c r="N343" s="9"/>
      <c r="O343" s="9"/>
      <c r="P343" s="9"/>
    </row>
    <row r="344" ht="30.0" customHeight="1">
      <c r="A344" s="4" t="s">
        <v>39</v>
      </c>
      <c r="B344" s="12" t="s">
        <v>40</v>
      </c>
      <c r="C344" s="11">
        <v>29572.56</v>
      </c>
      <c r="D344" s="10" t="str">
        <f>HYPERLINK("http://www.usrc.it/AppRendiConta/det_516_20170731.pdf","DETERMINA N. 516 DEL 31/07/2017")</f>
        <v>DETERMINA N. 516 DEL 31/07/2017</v>
      </c>
      <c r="E344" s="5" t="s">
        <v>570</v>
      </c>
      <c r="F344" s="8" t="s">
        <v>12</v>
      </c>
      <c r="G344" s="8" t="s">
        <v>206</v>
      </c>
      <c r="H344" s="9"/>
      <c r="I344" s="9"/>
      <c r="J344" s="9"/>
      <c r="K344" s="9"/>
      <c r="L344" s="9"/>
      <c r="M344" s="9"/>
      <c r="N344" s="9"/>
      <c r="O344" s="9"/>
      <c r="P344" s="9"/>
    </row>
    <row r="345" ht="30.0" customHeight="1">
      <c r="A345" s="4" t="s">
        <v>103</v>
      </c>
      <c r="B345" s="12" t="s">
        <v>104</v>
      </c>
      <c r="C345" s="11">
        <v>4000.0</v>
      </c>
      <c r="D345" s="7" t="str">
        <f t="shared" ref="D345:D351" si="25">HYPERLINK("http://www.usrc.it/AppRendiConta/det_523_20170801.pdf","DETERMINA N. 523 DEL 01/08/2017")</f>
        <v>DETERMINA N. 523 DEL 01/08/2017</v>
      </c>
      <c r="E345" s="5" t="s">
        <v>571</v>
      </c>
      <c r="F345" s="8" t="s">
        <v>12</v>
      </c>
      <c r="G345" s="8" t="s">
        <v>376</v>
      </c>
      <c r="H345" s="9"/>
      <c r="I345" s="9"/>
      <c r="J345" s="9"/>
      <c r="K345" s="9"/>
      <c r="L345" s="9"/>
      <c r="M345" s="9"/>
      <c r="N345" s="9"/>
      <c r="O345" s="9"/>
      <c r="P345" s="9"/>
    </row>
    <row r="346" ht="30.0" customHeight="1">
      <c r="A346" s="4" t="s">
        <v>18</v>
      </c>
      <c r="B346" s="13" t="s">
        <v>19</v>
      </c>
      <c r="C346" s="11">
        <v>217200.0</v>
      </c>
      <c r="D346" s="7" t="str">
        <f t="shared" si="25"/>
        <v>DETERMINA N. 523 DEL 01/08/2017</v>
      </c>
      <c r="E346" s="5" t="s">
        <v>572</v>
      </c>
      <c r="F346" s="8" t="s">
        <v>12</v>
      </c>
      <c r="G346" s="8" t="s">
        <v>376</v>
      </c>
      <c r="H346" s="9"/>
      <c r="I346" s="9"/>
      <c r="J346" s="9"/>
      <c r="K346" s="9"/>
      <c r="L346" s="9"/>
      <c r="M346" s="9"/>
      <c r="N346" s="9"/>
      <c r="O346" s="9"/>
      <c r="P346" s="9"/>
    </row>
    <row r="347" ht="30.0" customHeight="1">
      <c r="A347" s="4" t="s">
        <v>108</v>
      </c>
      <c r="B347" s="13" t="s">
        <v>109</v>
      </c>
      <c r="C347" s="11">
        <v>5900.0</v>
      </c>
      <c r="D347" s="7" t="str">
        <f t="shared" si="25"/>
        <v>DETERMINA N. 523 DEL 01/08/2017</v>
      </c>
      <c r="E347" s="5" t="s">
        <v>573</v>
      </c>
      <c r="F347" s="8" t="s">
        <v>12</v>
      </c>
      <c r="G347" s="8" t="s">
        <v>376</v>
      </c>
      <c r="H347" s="9"/>
      <c r="I347" s="9"/>
      <c r="J347" s="9"/>
      <c r="K347" s="9"/>
      <c r="L347" s="9"/>
      <c r="M347" s="9"/>
      <c r="N347" s="9"/>
      <c r="O347" s="9"/>
      <c r="P347" s="9"/>
    </row>
    <row r="348" ht="30.0" customHeight="1">
      <c r="A348" s="4" t="s">
        <v>323</v>
      </c>
      <c r="B348" s="13" t="s">
        <v>324</v>
      </c>
      <c r="C348" s="11">
        <v>1600.0</v>
      </c>
      <c r="D348" s="7" t="str">
        <f t="shared" si="25"/>
        <v>DETERMINA N. 523 DEL 01/08/2017</v>
      </c>
      <c r="E348" s="5" t="s">
        <v>574</v>
      </c>
      <c r="F348" s="8" t="s">
        <v>12</v>
      </c>
      <c r="G348" s="8" t="s">
        <v>376</v>
      </c>
      <c r="H348" s="9"/>
      <c r="I348" s="9"/>
      <c r="J348" s="9"/>
      <c r="K348" s="9"/>
      <c r="L348" s="9"/>
      <c r="M348" s="9"/>
      <c r="N348" s="9"/>
      <c r="O348" s="9"/>
      <c r="P348" s="9"/>
    </row>
    <row r="349" ht="30.0" customHeight="1">
      <c r="A349" s="4" t="s">
        <v>117</v>
      </c>
      <c r="B349" s="13" t="s">
        <v>118</v>
      </c>
      <c r="C349" s="11">
        <v>2600.0</v>
      </c>
      <c r="D349" s="7" t="str">
        <f t="shared" si="25"/>
        <v>DETERMINA N. 523 DEL 01/08/2017</v>
      </c>
      <c r="E349" s="5" t="s">
        <v>575</v>
      </c>
      <c r="F349" s="8" t="s">
        <v>12</v>
      </c>
      <c r="G349" s="8" t="s">
        <v>376</v>
      </c>
      <c r="H349" s="9"/>
      <c r="I349" s="9"/>
      <c r="J349" s="9"/>
      <c r="K349" s="9"/>
      <c r="L349" s="9"/>
      <c r="M349" s="9"/>
      <c r="N349" s="9"/>
      <c r="O349" s="9"/>
      <c r="P349" s="9"/>
    </row>
    <row r="350" ht="30.0" customHeight="1">
      <c r="A350" s="4" t="s">
        <v>120</v>
      </c>
      <c r="B350" s="13" t="s">
        <v>121</v>
      </c>
      <c r="C350" s="11">
        <v>53400.0</v>
      </c>
      <c r="D350" s="7" t="str">
        <f t="shared" si="25"/>
        <v>DETERMINA N. 523 DEL 01/08/2017</v>
      </c>
      <c r="E350" s="5" t="s">
        <v>576</v>
      </c>
      <c r="F350" s="8" t="s">
        <v>12</v>
      </c>
      <c r="G350" s="8" t="s">
        <v>376</v>
      </c>
      <c r="H350" s="9"/>
      <c r="I350" s="9"/>
      <c r="J350" s="9"/>
      <c r="K350" s="9"/>
      <c r="L350" s="9"/>
      <c r="M350" s="9"/>
      <c r="N350" s="9"/>
      <c r="O350" s="9"/>
      <c r="P350" s="9"/>
    </row>
    <row r="351" ht="30.0" customHeight="1">
      <c r="A351" s="4" t="s">
        <v>32</v>
      </c>
      <c r="B351" s="13" t="s">
        <v>33</v>
      </c>
      <c r="C351" s="11">
        <v>1400.0</v>
      </c>
      <c r="D351" s="7" t="str">
        <f t="shared" si="25"/>
        <v>DETERMINA N. 523 DEL 01/08/2017</v>
      </c>
      <c r="E351" s="5" t="s">
        <v>577</v>
      </c>
      <c r="F351" s="8" t="s">
        <v>12</v>
      </c>
      <c r="G351" s="8" t="s">
        <v>376</v>
      </c>
      <c r="H351" s="9"/>
      <c r="I351" s="9"/>
      <c r="J351" s="9"/>
      <c r="K351" s="9"/>
      <c r="L351" s="9"/>
      <c r="M351" s="9"/>
      <c r="N351" s="9"/>
      <c r="O351" s="9"/>
      <c r="P351" s="9"/>
    </row>
    <row r="352" ht="30.0" customHeight="1">
      <c r="A352" s="4" t="s">
        <v>281</v>
      </c>
      <c r="B352" s="13" t="s">
        <v>282</v>
      </c>
      <c r="C352" s="11">
        <v>18300.0</v>
      </c>
      <c r="D352" s="7" t="str">
        <f t="shared" ref="D352:D358" si="26">HYPERLINK("http://www.usrc.it/AppRendiConta/det_524_20170801.pdf","DETERMINA N. 524 DEL 01/08/2017")</f>
        <v>DETERMINA N. 524 DEL 01/08/2017</v>
      </c>
      <c r="E352" s="5" t="s">
        <v>578</v>
      </c>
      <c r="F352" s="8" t="s">
        <v>12</v>
      </c>
      <c r="G352" s="8" t="s">
        <v>376</v>
      </c>
      <c r="H352" s="9"/>
      <c r="I352" s="9"/>
      <c r="J352" s="9"/>
      <c r="K352" s="9"/>
      <c r="L352" s="9"/>
      <c r="M352" s="9"/>
      <c r="N352" s="9"/>
      <c r="O352" s="9"/>
      <c r="P352" s="9"/>
    </row>
    <row r="353" ht="30.0" customHeight="1">
      <c r="A353" s="4" t="s">
        <v>299</v>
      </c>
      <c r="B353" s="13" t="s">
        <v>300</v>
      </c>
      <c r="C353" s="11">
        <v>5600.0</v>
      </c>
      <c r="D353" s="7" t="str">
        <f t="shared" si="26"/>
        <v>DETERMINA N. 524 DEL 01/08/2017</v>
      </c>
      <c r="E353" s="5" t="s">
        <v>579</v>
      </c>
      <c r="F353" s="8" t="s">
        <v>12</v>
      </c>
      <c r="G353" s="8" t="s">
        <v>376</v>
      </c>
      <c r="H353" s="9"/>
      <c r="I353" s="9"/>
      <c r="J353" s="9"/>
      <c r="K353" s="9"/>
      <c r="L353" s="9"/>
      <c r="M353" s="9"/>
      <c r="N353" s="9"/>
      <c r="O353" s="9"/>
      <c r="P353" s="9"/>
    </row>
    <row r="354" ht="30.0" customHeight="1">
      <c r="A354" s="4" t="s">
        <v>128</v>
      </c>
      <c r="B354" s="13" t="s">
        <v>129</v>
      </c>
      <c r="C354" s="11">
        <v>8961.29</v>
      </c>
      <c r="D354" s="7" t="str">
        <f t="shared" si="26"/>
        <v>DETERMINA N. 524 DEL 01/08/2017</v>
      </c>
      <c r="E354" s="5" t="s">
        <v>580</v>
      </c>
      <c r="F354" s="8" t="s">
        <v>12</v>
      </c>
      <c r="G354" s="8" t="s">
        <v>376</v>
      </c>
      <c r="H354" s="9"/>
      <c r="I354" s="9"/>
      <c r="J354" s="9"/>
      <c r="K354" s="9"/>
      <c r="L354" s="9"/>
      <c r="M354" s="9"/>
      <c r="N354" s="9"/>
      <c r="O354" s="9"/>
      <c r="P354" s="9"/>
    </row>
    <row r="355" ht="30.0" customHeight="1">
      <c r="A355" s="4" t="s">
        <v>581</v>
      </c>
      <c r="B355" s="13" t="s">
        <v>582</v>
      </c>
      <c r="C355" s="11">
        <v>9756.91</v>
      </c>
      <c r="D355" s="7" t="str">
        <f t="shared" si="26"/>
        <v>DETERMINA N. 524 DEL 01/08/2017</v>
      </c>
      <c r="E355" s="5" t="s">
        <v>583</v>
      </c>
      <c r="F355" s="8" t="s">
        <v>12</v>
      </c>
      <c r="G355" s="8" t="s">
        <v>376</v>
      </c>
      <c r="H355" s="9"/>
      <c r="I355" s="9"/>
      <c r="J355" s="9"/>
      <c r="K355" s="9"/>
      <c r="L355" s="9"/>
      <c r="M355" s="9"/>
      <c r="N355" s="9"/>
      <c r="O355" s="9"/>
      <c r="P355" s="9"/>
    </row>
    <row r="356" ht="30.0" customHeight="1">
      <c r="A356" s="4" t="s">
        <v>584</v>
      </c>
      <c r="B356" s="13" t="s">
        <v>585</v>
      </c>
      <c r="C356" s="11">
        <v>35716.13</v>
      </c>
      <c r="D356" s="7" t="str">
        <f t="shared" si="26"/>
        <v>DETERMINA N. 524 DEL 01/08/2017</v>
      </c>
      <c r="E356" s="5" t="s">
        <v>586</v>
      </c>
      <c r="F356" s="8" t="s">
        <v>12</v>
      </c>
      <c r="G356" s="8" t="s">
        <v>376</v>
      </c>
      <c r="H356" s="9"/>
      <c r="I356" s="9"/>
      <c r="J356" s="9"/>
      <c r="K356" s="9"/>
      <c r="L356" s="9"/>
      <c r="M356" s="9"/>
      <c r="N356" s="9"/>
      <c r="O356" s="9"/>
      <c r="P356" s="9"/>
    </row>
    <row r="357" ht="30.0" customHeight="1">
      <c r="A357" s="4" t="s">
        <v>287</v>
      </c>
      <c r="B357" s="13" t="s">
        <v>288</v>
      </c>
      <c r="C357" s="11">
        <v>6400.0</v>
      </c>
      <c r="D357" s="7" t="str">
        <f t="shared" si="26"/>
        <v>DETERMINA N. 524 DEL 01/08/2017</v>
      </c>
      <c r="E357" s="5" t="s">
        <v>587</v>
      </c>
      <c r="F357" s="8" t="s">
        <v>12</v>
      </c>
      <c r="G357" s="8" t="s">
        <v>376</v>
      </c>
      <c r="H357" s="9"/>
      <c r="I357" s="9"/>
      <c r="J357" s="9"/>
      <c r="K357" s="9"/>
      <c r="L357" s="9"/>
      <c r="M357" s="9"/>
      <c r="N357" s="9"/>
      <c r="O357" s="9"/>
      <c r="P357" s="9"/>
    </row>
    <row r="358" ht="30.0" customHeight="1">
      <c r="A358" s="4" t="s">
        <v>498</v>
      </c>
      <c r="B358" s="13" t="s">
        <v>499</v>
      </c>
      <c r="C358" s="11">
        <v>5600.0</v>
      </c>
      <c r="D358" s="7" t="str">
        <f t="shared" si="26"/>
        <v>DETERMINA N. 524 DEL 01/08/2017</v>
      </c>
      <c r="E358" s="5" t="s">
        <v>588</v>
      </c>
      <c r="F358" s="8" t="s">
        <v>12</v>
      </c>
      <c r="G358" s="8" t="s">
        <v>376</v>
      </c>
      <c r="H358" s="9"/>
      <c r="I358" s="9"/>
      <c r="J358" s="9"/>
      <c r="K358" s="9"/>
      <c r="L358" s="9"/>
      <c r="M358" s="9"/>
      <c r="N358" s="9"/>
      <c r="O358" s="9"/>
      <c r="P358" s="9"/>
    </row>
    <row r="359" ht="30.0" customHeight="1">
      <c r="A359" s="4" t="s">
        <v>145</v>
      </c>
      <c r="B359" s="12" t="s">
        <v>146</v>
      </c>
      <c r="C359" s="11">
        <v>437500.0</v>
      </c>
      <c r="D359" s="10" t="str">
        <f>HYPERLINK("http://www.usrc.it/AppRendiConta/det_530_20170803.pdf","DETERMINA N. 530 DEL 03/08/2017")</f>
        <v>DETERMINA N. 530 DEL 03/08/2017</v>
      </c>
      <c r="E359" s="8" t="s">
        <v>589</v>
      </c>
      <c r="F359" s="8" t="s">
        <v>12</v>
      </c>
      <c r="G359" s="8" t="s">
        <v>58</v>
      </c>
      <c r="H359" s="9"/>
      <c r="I359" s="9"/>
      <c r="J359" s="9"/>
      <c r="K359" s="9"/>
      <c r="L359" s="9"/>
      <c r="M359" s="9"/>
      <c r="N359" s="9"/>
      <c r="O359" s="9"/>
      <c r="P359" s="9"/>
    </row>
    <row r="360" ht="30.0" customHeight="1">
      <c r="A360" s="4" t="s">
        <v>145</v>
      </c>
      <c r="B360" s="13" t="s">
        <v>146</v>
      </c>
      <c r="C360" s="11">
        <v>35934.48</v>
      </c>
      <c r="D360" s="10" t="str">
        <f>HYPERLINK("http://www.usrc.it/AppRendiConta/det_531_20170803.pdf","DETERMINA N. 531 DEL 03/08/2017")</f>
        <v>DETERMINA N. 531 DEL 03/08/2017</v>
      </c>
      <c r="E360" s="5" t="s">
        <v>590</v>
      </c>
      <c r="F360" s="8" t="s">
        <v>12</v>
      </c>
      <c r="G360" s="8" t="s">
        <v>58</v>
      </c>
      <c r="H360" s="9"/>
      <c r="I360" s="9"/>
      <c r="J360" s="9"/>
      <c r="K360" s="9"/>
      <c r="L360" s="9"/>
      <c r="M360" s="9"/>
      <c r="N360" s="9"/>
      <c r="O360" s="9"/>
      <c r="P360" s="9"/>
    </row>
    <row r="361" ht="30.0" customHeight="1">
      <c r="A361" s="4" t="s">
        <v>32</v>
      </c>
      <c r="B361" s="13" t="s">
        <v>33</v>
      </c>
      <c r="C361" s="11">
        <v>19685.77</v>
      </c>
      <c r="D361" s="10" t="str">
        <f>HYPERLINK("http://www.usrc.it/AppRendiConta/det_532_20170803.pdf","DETERMINA N. 532 DEL 03/08/2017")</f>
        <v>DETERMINA N. 532 DEL 03/08/2017</v>
      </c>
      <c r="E361" s="5" t="s">
        <v>591</v>
      </c>
      <c r="F361" s="8" t="s">
        <v>12</v>
      </c>
      <c r="G361" s="8" t="s">
        <v>24</v>
      </c>
      <c r="H361" s="9"/>
      <c r="I361" s="9"/>
      <c r="J361" s="9"/>
      <c r="K361" s="9"/>
      <c r="L361" s="9"/>
      <c r="M361" s="9"/>
      <c r="N361" s="9"/>
      <c r="O361" s="9"/>
      <c r="P361" s="9"/>
    </row>
    <row r="362" ht="30.0" customHeight="1">
      <c r="A362" s="4" t="s">
        <v>90</v>
      </c>
      <c r="B362" s="13" t="s">
        <v>91</v>
      </c>
      <c r="C362" s="11">
        <v>23790.02</v>
      </c>
      <c r="D362" s="10" t="str">
        <f>HYPERLINK("http://www.usrc.it/AppRendiConta/det_533_20170803.pdf","DETERMINA N. 533 DEL 03/08/2017")</f>
        <v>DETERMINA N. 533 DEL 03/08/2017</v>
      </c>
      <c r="E362" s="5" t="s">
        <v>592</v>
      </c>
      <c r="F362" s="8" t="s">
        <v>12</v>
      </c>
      <c r="G362" s="8" t="s">
        <v>206</v>
      </c>
      <c r="H362" s="9"/>
      <c r="I362" s="9"/>
      <c r="J362" s="9"/>
      <c r="K362" s="9"/>
      <c r="L362" s="9"/>
      <c r="M362" s="9"/>
      <c r="N362" s="9"/>
      <c r="O362" s="9"/>
      <c r="P362" s="9"/>
    </row>
    <row r="363" ht="30.0" customHeight="1">
      <c r="A363" s="4" t="s">
        <v>430</v>
      </c>
      <c r="B363" s="13" t="s">
        <v>431</v>
      </c>
      <c r="C363" s="11">
        <v>236814.21</v>
      </c>
      <c r="D363" s="10" t="str">
        <f>HYPERLINK("http://www.usrc.it/AppRendiConta/det_534_20170803.pdf","DETERMINA N. 534 DEL 03/08/2017")</f>
        <v>DETERMINA N. 534 DEL 03/08/2017</v>
      </c>
      <c r="E363" s="8" t="s">
        <v>593</v>
      </c>
      <c r="F363" s="8" t="s">
        <v>12</v>
      </c>
      <c r="G363" s="8" t="s">
        <v>58</v>
      </c>
      <c r="H363" s="9"/>
      <c r="I363" s="9"/>
      <c r="J363" s="9"/>
      <c r="K363" s="9"/>
      <c r="L363" s="9"/>
      <c r="M363" s="9"/>
      <c r="N363" s="9"/>
      <c r="O363" s="9"/>
      <c r="P363" s="9"/>
    </row>
    <row r="364" ht="30.0" customHeight="1">
      <c r="A364" s="4" t="s">
        <v>594</v>
      </c>
      <c r="B364" s="13" t="s">
        <v>595</v>
      </c>
      <c r="C364" s="11">
        <v>652464.52</v>
      </c>
      <c r="D364" s="10" t="str">
        <f>HYPERLINK("http://www.usrc.it/AppRendiConta/det_535_20170803.pdf","DETERMINA N. 535 DEL 03/08/2017")</f>
        <v>DETERMINA N. 535 DEL 03/08/2017</v>
      </c>
      <c r="E364" s="8" t="s">
        <v>596</v>
      </c>
      <c r="F364" s="8" t="s">
        <v>12</v>
      </c>
      <c r="G364" s="8" t="s">
        <v>13</v>
      </c>
      <c r="H364" s="9"/>
      <c r="I364" s="9"/>
      <c r="J364" s="9"/>
      <c r="K364" s="9"/>
      <c r="L364" s="9"/>
      <c r="M364" s="9"/>
      <c r="N364" s="9"/>
      <c r="O364" s="9"/>
      <c r="P364" s="9"/>
    </row>
    <row r="365" ht="30.0" customHeight="1">
      <c r="A365" s="4" t="s">
        <v>302</v>
      </c>
      <c r="B365" s="13" t="s">
        <v>303</v>
      </c>
      <c r="C365" s="11">
        <v>29332.16</v>
      </c>
      <c r="D365" s="10" t="str">
        <f>HYPERLINK("http://www.usrc.it/AppRendiConta/det_536_20170803.pdf","DETERMINA N. 536 DEL 03/08/2017")</f>
        <v>DETERMINA N. 536 DEL 03/08/2017</v>
      </c>
      <c r="E365" s="8" t="s">
        <v>597</v>
      </c>
      <c r="F365" s="8" t="s">
        <v>12</v>
      </c>
      <c r="G365" s="8" t="s">
        <v>58</v>
      </c>
      <c r="H365" s="9"/>
      <c r="I365" s="9"/>
      <c r="J365" s="9"/>
      <c r="K365" s="9"/>
      <c r="L365" s="9"/>
      <c r="M365" s="9"/>
      <c r="N365" s="9"/>
      <c r="O365" s="9"/>
      <c r="P365" s="9"/>
    </row>
    <row r="366" ht="30.0" customHeight="1">
      <c r="A366" s="4" t="s">
        <v>430</v>
      </c>
      <c r="B366" s="13" t="s">
        <v>431</v>
      </c>
      <c r="C366" s="11">
        <v>13819.15</v>
      </c>
      <c r="D366" s="10" t="str">
        <f>HYPERLINK("http://www.usrc.it/AppRendiConta/det_537_20170807.pdf","DETERMINA N. 537 DEL 07/08/2017")</f>
        <v>DETERMINA N. 537 DEL 07/08/2017</v>
      </c>
      <c r="E366" s="8" t="s">
        <v>598</v>
      </c>
      <c r="F366" s="8" t="s">
        <v>12</v>
      </c>
      <c r="G366" s="8" t="s">
        <v>58</v>
      </c>
      <c r="H366" s="9"/>
      <c r="I366" s="9"/>
      <c r="J366" s="9"/>
      <c r="K366" s="9"/>
      <c r="L366" s="9"/>
      <c r="M366" s="9"/>
      <c r="N366" s="9"/>
      <c r="O366" s="9"/>
      <c r="P366" s="9"/>
    </row>
    <row r="367" ht="30.0" customHeight="1">
      <c r="A367" s="4" t="s">
        <v>49</v>
      </c>
      <c r="B367" s="13" t="s">
        <v>50</v>
      </c>
      <c r="C367" s="11">
        <v>75608.46</v>
      </c>
      <c r="D367" s="10" t="str">
        <f>HYPERLINK("http://www.usrc.it/AppRendiConta/det_538_20170807.pdf","DETERMINA N. 538 DEL 07/08/2017")</f>
        <v>DETERMINA N. 538 DEL 07/08/2017</v>
      </c>
      <c r="E367" s="8" t="s">
        <v>599</v>
      </c>
      <c r="F367" s="8" t="s">
        <v>12</v>
      </c>
      <c r="G367" s="8" t="s">
        <v>58</v>
      </c>
      <c r="H367" s="9"/>
      <c r="I367" s="9"/>
      <c r="J367" s="9"/>
      <c r="K367" s="9"/>
      <c r="L367" s="9"/>
      <c r="M367" s="9"/>
      <c r="N367" s="9"/>
      <c r="O367" s="9"/>
      <c r="P367" s="9"/>
    </row>
    <row r="368" ht="30.0" customHeight="1">
      <c r="A368" s="4" t="s">
        <v>141</v>
      </c>
      <c r="B368" s="13" t="s">
        <v>142</v>
      </c>
      <c r="C368" s="11">
        <v>13050.0</v>
      </c>
      <c r="D368" s="10" t="str">
        <f>HYPERLINK("http://www.usrc.it/AppRendiConta/det_539_20170807.pdf","DETERMINA N. 539 DEL 07/08/2017")</f>
        <v>DETERMINA N. 539 DEL 07/08/2017</v>
      </c>
      <c r="E368" s="8" t="s">
        <v>600</v>
      </c>
      <c r="F368" s="8" t="s">
        <v>12</v>
      </c>
      <c r="G368" s="8" t="s">
        <v>58</v>
      </c>
      <c r="H368" s="9"/>
      <c r="I368" s="9"/>
      <c r="J368" s="9"/>
      <c r="K368" s="9"/>
      <c r="L368" s="9"/>
      <c r="M368" s="9"/>
      <c r="N368" s="9"/>
      <c r="O368" s="9"/>
      <c r="P368" s="9"/>
    </row>
    <row r="369" ht="30.0" customHeight="1">
      <c r="A369" s="4" t="s">
        <v>36</v>
      </c>
      <c r="B369" s="12" t="s">
        <v>37</v>
      </c>
      <c r="C369" s="11">
        <v>3630278.15</v>
      </c>
      <c r="D369" s="10" t="str">
        <f>HYPERLINK("http://www.usrc.it/AppRendiConta/det_545_20170822.pdf","DETERMINA N. 545 DEL 22/08/2017")</f>
        <v>DETERMINA N. 545 DEL 22/08/2017</v>
      </c>
      <c r="E369" s="8" t="s">
        <v>601</v>
      </c>
      <c r="F369" s="8" t="s">
        <v>12</v>
      </c>
      <c r="G369" s="8" t="s">
        <v>602</v>
      </c>
      <c r="H369" s="9"/>
      <c r="I369" s="9"/>
      <c r="J369" s="9"/>
      <c r="K369" s="9"/>
      <c r="L369" s="9"/>
      <c r="M369" s="9"/>
      <c r="N369" s="9"/>
      <c r="O369" s="9"/>
      <c r="P369" s="9"/>
    </row>
    <row r="370" ht="30.0" customHeight="1">
      <c r="A370" s="4" t="s">
        <v>185</v>
      </c>
      <c r="B370" s="13" t="s">
        <v>186</v>
      </c>
      <c r="C370" s="11">
        <v>1016858.94</v>
      </c>
      <c r="D370" s="10" t="str">
        <f>HYPERLINK("http://www.usrc.it/AppRendiConta/det_546_20170822.pdf","DETERMINA N. 546 DEL 22/08/2017")</f>
        <v>DETERMINA N. 546 DEL 22/08/2017</v>
      </c>
      <c r="E370" s="8" t="s">
        <v>603</v>
      </c>
      <c r="F370" s="8" t="s">
        <v>12</v>
      </c>
      <c r="G370" s="8" t="s">
        <v>602</v>
      </c>
      <c r="H370" s="9"/>
      <c r="I370" s="9"/>
      <c r="J370" s="9"/>
      <c r="K370" s="9"/>
      <c r="L370" s="9"/>
      <c r="M370" s="9"/>
      <c r="N370" s="9"/>
      <c r="O370" s="9"/>
      <c r="P370" s="9"/>
    </row>
    <row r="371" ht="30.0" customHeight="1">
      <c r="A371" s="4" t="s">
        <v>172</v>
      </c>
      <c r="B371" s="13" t="s">
        <v>173</v>
      </c>
      <c r="C371" s="11">
        <v>2731393.82</v>
      </c>
      <c r="D371" s="10" t="str">
        <f>HYPERLINK("http://www.usrc.it/AppRendiConta/det_547_20170822.pdf","DETERMINA N. 547 DEL 22/08/2017")</f>
        <v>DETERMINA N. 547 DEL 22/08/2017</v>
      </c>
      <c r="E371" s="8" t="s">
        <v>604</v>
      </c>
      <c r="F371" s="8" t="s">
        <v>12</v>
      </c>
      <c r="G371" s="8" t="s">
        <v>62</v>
      </c>
      <c r="H371" s="9"/>
      <c r="I371" s="9"/>
      <c r="J371" s="9"/>
      <c r="K371" s="9"/>
      <c r="L371" s="9"/>
      <c r="M371" s="9"/>
      <c r="N371" s="9"/>
      <c r="O371" s="9"/>
      <c r="P371" s="9"/>
    </row>
    <row r="372" ht="30.0" customHeight="1">
      <c r="A372" s="4" t="s">
        <v>605</v>
      </c>
      <c r="B372" s="18" t="s">
        <v>606</v>
      </c>
      <c r="C372" s="11">
        <v>2199791.17</v>
      </c>
      <c r="D372" s="10" t="str">
        <f>HYPERLINK("http://www.usrc.it/AppRendiConta/det_548_20170822.pdf","DETERMINA N. 548 DEL 22/08/2017")</f>
        <v>DETERMINA N. 548 DEL 22/08/2017</v>
      </c>
      <c r="E372" s="8" t="s">
        <v>607</v>
      </c>
      <c r="F372" s="8" t="s">
        <v>12</v>
      </c>
      <c r="G372" s="8" t="s">
        <v>102</v>
      </c>
      <c r="H372" s="9"/>
      <c r="I372" s="9"/>
      <c r="J372" s="9"/>
      <c r="K372" s="9"/>
      <c r="L372" s="9"/>
      <c r="M372" s="9"/>
      <c r="N372" s="9"/>
      <c r="O372" s="9"/>
      <c r="P372" s="9"/>
    </row>
    <row r="373" ht="30.0" customHeight="1">
      <c r="A373" s="4" t="s">
        <v>46</v>
      </c>
      <c r="B373" s="18" t="s">
        <v>47</v>
      </c>
      <c r="C373" s="11">
        <v>3773800.44</v>
      </c>
      <c r="D373" s="10" t="str">
        <f>HYPERLINK("http://www.usrc.it/AppRendiConta/det_549_20170822.pdf","DETERMINA N. 549 DEL 22/08/2017")</f>
        <v>DETERMINA N. 549 DEL 22/08/2017</v>
      </c>
      <c r="E373" s="5" t="s">
        <v>608</v>
      </c>
      <c r="F373" s="8" t="s">
        <v>12</v>
      </c>
      <c r="G373" s="8" t="s">
        <v>479</v>
      </c>
      <c r="H373" s="9"/>
      <c r="I373" s="9"/>
      <c r="J373" s="9"/>
      <c r="K373" s="9"/>
      <c r="L373" s="9"/>
      <c r="M373" s="9"/>
      <c r="N373" s="9"/>
      <c r="O373" s="9"/>
      <c r="P373" s="9"/>
    </row>
    <row r="374" ht="30.0" customHeight="1">
      <c r="A374" s="4" t="s">
        <v>148</v>
      </c>
      <c r="B374" s="5" t="s">
        <v>149</v>
      </c>
      <c r="C374" s="11">
        <v>1237817.6</v>
      </c>
      <c r="D374" s="10" t="str">
        <f>HYPERLINK("http://www.usrc.it/AppRendiConta/det_561_20170831.pdf","DETERMINA N. 561 DEL 31/08/2017")</f>
        <v>DETERMINA N. 561 DEL 31/08/2017</v>
      </c>
      <c r="E374" s="5" t="s">
        <v>609</v>
      </c>
      <c r="F374" s="8" t="s">
        <v>12</v>
      </c>
      <c r="G374" s="8" t="s">
        <v>13</v>
      </c>
      <c r="H374" s="9"/>
      <c r="I374" s="9"/>
      <c r="J374" s="9"/>
      <c r="K374" s="9"/>
      <c r="L374" s="9"/>
      <c r="M374" s="9"/>
      <c r="N374" s="9"/>
      <c r="O374" s="9"/>
      <c r="P374" s="9"/>
    </row>
    <row r="375" ht="30.0" customHeight="1">
      <c r="A375" s="4" t="s">
        <v>610</v>
      </c>
      <c r="B375" s="5" t="s">
        <v>611</v>
      </c>
      <c r="C375" s="11">
        <v>735073.93</v>
      </c>
      <c r="D375" s="10" t="str">
        <f>HYPERLINK("http://www.usrc.it/AppRendiConta/det_562_20170831.pdf","DETERMINA N. 562 DEL 31/08/2017")</f>
        <v>DETERMINA N. 562 DEL 31/08/2017</v>
      </c>
      <c r="E375" s="5" t="s">
        <v>612</v>
      </c>
      <c r="F375" s="8" t="s">
        <v>12</v>
      </c>
      <c r="G375" s="8" t="s">
        <v>204</v>
      </c>
      <c r="H375" s="9"/>
      <c r="I375" s="9"/>
      <c r="J375" s="9"/>
      <c r="K375" s="9"/>
      <c r="L375" s="9"/>
      <c r="M375" s="9"/>
      <c r="N375" s="9"/>
      <c r="O375" s="9"/>
      <c r="P375" s="9"/>
    </row>
    <row r="376" ht="30.0" customHeight="1">
      <c r="A376" s="4" t="s">
        <v>55</v>
      </c>
      <c r="B376" s="5" t="s">
        <v>56</v>
      </c>
      <c r="C376" s="11">
        <v>1192772.87</v>
      </c>
      <c r="D376" s="10" t="str">
        <f>HYPERLINK("http://www.usrc.it/AppRendiConta/det_563_20170831.pdf","DETERMINA N. 563 DEL 31/08/2017")</f>
        <v>DETERMINA N. 563 DEL 31/08/2017</v>
      </c>
      <c r="E376" s="5" t="s">
        <v>510</v>
      </c>
      <c r="F376" s="8" t="s">
        <v>12</v>
      </c>
      <c r="G376" s="8" t="s">
        <v>13</v>
      </c>
      <c r="H376" s="9"/>
      <c r="I376" s="9"/>
      <c r="J376" s="9"/>
      <c r="K376" s="9"/>
      <c r="L376" s="9"/>
      <c r="M376" s="9"/>
      <c r="N376" s="9"/>
      <c r="O376" s="9"/>
      <c r="P376" s="9"/>
    </row>
    <row r="377" ht="30.0" customHeight="1">
      <c r="A377" s="4" t="s">
        <v>613</v>
      </c>
      <c r="B377" s="5" t="s">
        <v>614</v>
      </c>
      <c r="C377" s="11">
        <v>100427.84</v>
      </c>
      <c r="D377" s="10" t="str">
        <f>HYPERLINK("http://www.usrc.it/AppRendiConta/det_564_20170831.pdf","DETERMINA N. 564 DEL 31/08/2017")</f>
        <v>DETERMINA N. 564 DEL 31/08/2017</v>
      </c>
      <c r="E377" s="5" t="s">
        <v>615</v>
      </c>
      <c r="F377" s="8" t="s">
        <v>12</v>
      </c>
      <c r="G377" s="8" t="s">
        <v>13</v>
      </c>
      <c r="H377" s="9"/>
      <c r="I377" s="9"/>
      <c r="J377" s="9"/>
      <c r="K377" s="9"/>
      <c r="L377" s="9"/>
      <c r="M377" s="9"/>
      <c r="N377" s="9"/>
      <c r="O377" s="9"/>
      <c r="P377" s="9"/>
    </row>
    <row r="378" ht="30.0" customHeight="1">
      <c r="A378" s="4" t="s">
        <v>9</v>
      </c>
      <c r="B378" s="5" t="s">
        <v>10</v>
      </c>
      <c r="C378" s="11">
        <v>19460.01</v>
      </c>
      <c r="D378" s="10" t="str">
        <f>HYPERLINK("http://www.usrc.it/AppRendiConta/det_566_20170831.pdf","DETERMINA N. 566 DEL 31/08/2017")</f>
        <v>DETERMINA N. 566 DEL 31/08/2017</v>
      </c>
      <c r="E378" s="5" t="s">
        <v>616</v>
      </c>
      <c r="F378" s="8" t="s">
        <v>12</v>
      </c>
      <c r="G378" s="8" t="s">
        <v>13</v>
      </c>
      <c r="H378" s="9"/>
      <c r="I378" s="9"/>
      <c r="J378" s="9"/>
      <c r="K378" s="9"/>
      <c r="L378" s="9"/>
      <c r="M378" s="9"/>
      <c r="N378" s="9"/>
      <c r="O378" s="9"/>
      <c r="P378" s="9"/>
    </row>
    <row r="379" ht="30.0" customHeight="1">
      <c r="A379" s="4" t="s">
        <v>179</v>
      </c>
      <c r="B379" s="5" t="s">
        <v>180</v>
      </c>
      <c r="C379" s="11">
        <v>1516942.79</v>
      </c>
      <c r="D379" s="10" t="str">
        <f>HYPERLINK("http://www.usrc.it/AppRendiConta/det_571_20170906.pdf","DETERMINA N. 571 DEL 06/09/2017")</f>
        <v>DETERMINA N. 571 DEL 06/09/2017</v>
      </c>
      <c r="E379" s="5" t="s">
        <v>617</v>
      </c>
      <c r="F379" s="8" t="s">
        <v>12</v>
      </c>
      <c r="G379" s="8" t="s">
        <v>102</v>
      </c>
      <c r="H379" s="9"/>
      <c r="I379" s="9"/>
      <c r="J379" s="9"/>
      <c r="K379" s="9"/>
      <c r="L379" s="9"/>
      <c r="M379" s="9"/>
      <c r="N379" s="9"/>
      <c r="O379" s="9"/>
      <c r="P379" s="9"/>
    </row>
    <row r="380" ht="30.0" customHeight="1">
      <c r="A380" s="4" t="s">
        <v>103</v>
      </c>
      <c r="B380" s="5" t="s">
        <v>104</v>
      </c>
      <c r="C380" s="11">
        <v>12619.35</v>
      </c>
      <c r="D380" s="10" t="str">
        <f t="shared" ref="D380:D388" si="27">HYPERLINK("http://www.usrc.it/AppRendiConta/det_574_20170906.pdf","DETERMINA N. 574 DEL 06/09/2017")</f>
        <v>DETERMINA N. 574 DEL 06/09/2017</v>
      </c>
      <c r="E380" s="5" t="s">
        <v>618</v>
      </c>
      <c r="F380" s="8" t="s">
        <v>12</v>
      </c>
      <c r="G380" s="8" t="s">
        <v>376</v>
      </c>
      <c r="H380" s="9"/>
      <c r="I380" s="9"/>
      <c r="J380" s="9"/>
      <c r="K380" s="9"/>
      <c r="L380" s="9"/>
      <c r="M380" s="9"/>
      <c r="N380" s="9"/>
      <c r="O380" s="9"/>
      <c r="P380" s="9"/>
    </row>
    <row r="381" ht="30.0" customHeight="1">
      <c r="A381" s="4" t="s">
        <v>264</v>
      </c>
      <c r="B381" s="5" t="s">
        <v>19</v>
      </c>
      <c r="C381" s="11">
        <v>23000.0</v>
      </c>
      <c r="D381" s="10" t="str">
        <f t="shared" si="27"/>
        <v>DETERMINA N. 574 DEL 06/09/2017</v>
      </c>
      <c r="E381" s="5" t="s">
        <v>577</v>
      </c>
      <c r="F381" s="8" t="s">
        <v>12</v>
      </c>
      <c r="G381" s="8" t="s">
        <v>376</v>
      </c>
      <c r="H381" s="9"/>
      <c r="I381" s="9"/>
      <c r="J381" s="9"/>
      <c r="K381" s="9"/>
      <c r="L381" s="9"/>
      <c r="M381" s="9"/>
      <c r="N381" s="9"/>
      <c r="O381" s="9"/>
      <c r="P381" s="9"/>
    </row>
    <row r="382" ht="30.0" customHeight="1">
      <c r="A382" s="4" t="s">
        <v>14</v>
      </c>
      <c r="B382" s="5" t="s">
        <v>15</v>
      </c>
      <c r="C382" s="11">
        <v>348.39</v>
      </c>
      <c r="D382" s="10" t="str">
        <f t="shared" si="27"/>
        <v>DETERMINA N. 574 DEL 06/09/2017</v>
      </c>
      <c r="E382" s="8" t="s">
        <v>619</v>
      </c>
      <c r="F382" s="8" t="s">
        <v>12</v>
      </c>
      <c r="G382" s="8" t="s">
        <v>376</v>
      </c>
      <c r="H382" s="9"/>
      <c r="I382" s="9"/>
      <c r="J382" s="9"/>
      <c r="K382" s="9"/>
      <c r="L382" s="9"/>
      <c r="M382" s="9"/>
      <c r="N382" s="9"/>
      <c r="O382" s="9"/>
      <c r="P382" s="9"/>
    </row>
    <row r="383" ht="30.0" customHeight="1">
      <c r="A383" s="4" t="s">
        <v>120</v>
      </c>
      <c r="B383" s="5" t="s">
        <v>121</v>
      </c>
      <c r="C383" s="11">
        <v>26700.0</v>
      </c>
      <c r="D383" s="10" t="str">
        <f t="shared" si="27"/>
        <v>DETERMINA N. 574 DEL 06/09/2017</v>
      </c>
      <c r="E383" s="8" t="s">
        <v>620</v>
      </c>
      <c r="F383" s="8" t="s">
        <v>12</v>
      </c>
      <c r="G383" s="8" t="s">
        <v>376</v>
      </c>
      <c r="H383" s="9"/>
      <c r="I383" s="9"/>
      <c r="J383" s="9"/>
      <c r="K383" s="9"/>
      <c r="L383" s="9"/>
      <c r="M383" s="9"/>
      <c r="N383" s="9"/>
      <c r="O383" s="9"/>
      <c r="P383" s="9"/>
    </row>
    <row r="384" ht="30.0" customHeight="1">
      <c r="A384" s="4" t="s">
        <v>248</v>
      </c>
      <c r="B384" s="13" t="s">
        <v>249</v>
      </c>
      <c r="C384" s="11">
        <v>8400.0</v>
      </c>
      <c r="D384" s="10" t="str">
        <f t="shared" si="27"/>
        <v>DETERMINA N. 574 DEL 06/09/2017</v>
      </c>
      <c r="E384" s="8" t="s">
        <v>578</v>
      </c>
      <c r="F384" s="8" t="s">
        <v>12</v>
      </c>
      <c r="G384" s="8" t="s">
        <v>376</v>
      </c>
      <c r="H384" s="9"/>
      <c r="I384" s="9"/>
      <c r="J384" s="9"/>
      <c r="K384" s="9"/>
      <c r="L384" s="9"/>
      <c r="M384" s="9"/>
      <c r="N384" s="9"/>
      <c r="O384" s="9"/>
      <c r="P384" s="9"/>
    </row>
    <row r="385" ht="30.0" customHeight="1">
      <c r="A385" s="4" t="s">
        <v>117</v>
      </c>
      <c r="B385" s="13" t="s">
        <v>118</v>
      </c>
      <c r="C385" s="11">
        <v>1300.0</v>
      </c>
      <c r="D385" s="10" t="str">
        <f t="shared" si="27"/>
        <v>DETERMINA N. 574 DEL 06/09/2017</v>
      </c>
      <c r="E385" s="8" t="s">
        <v>577</v>
      </c>
      <c r="F385" s="8" t="s">
        <v>12</v>
      </c>
      <c r="G385" s="8" t="s">
        <v>376</v>
      </c>
      <c r="H385" s="9"/>
      <c r="I385" s="9"/>
      <c r="J385" s="9"/>
      <c r="K385" s="9"/>
      <c r="L385" s="9"/>
      <c r="M385" s="9"/>
      <c r="N385" s="9"/>
      <c r="O385" s="9"/>
      <c r="P385" s="9"/>
    </row>
    <row r="386" ht="30.0" customHeight="1">
      <c r="A386" s="4" t="s">
        <v>276</v>
      </c>
      <c r="B386" s="13" t="s">
        <v>277</v>
      </c>
      <c r="C386" s="11">
        <v>12600.0</v>
      </c>
      <c r="D386" s="10" t="str">
        <f t="shared" si="27"/>
        <v>DETERMINA N. 574 DEL 06/09/2017</v>
      </c>
      <c r="E386" s="8" t="s">
        <v>621</v>
      </c>
      <c r="F386" s="8" t="s">
        <v>12</v>
      </c>
      <c r="G386" s="8" t="s">
        <v>376</v>
      </c>
      <c r="H386" s="9"/>
      <c r="I386" s="9"/>
      <c r="J386" s="9"/>
      <c r="K386" s="9"/>
      <c r="L386" s="9"/>
      <c r="M386" s="9"/>
      <c r="N386" s="9"/>
      <c r="O386" s="9"/>
      <c r="P386" s="9"/>
    </row>
    <row r="387" ht="30.0" customHeight="1">
      <c r="A387" s="4" t="s">
        <v>95</v>
      </c>
      <c r="B387" s="5" t="s">
        <v>96</v>
      </c>
      <c r="C387" s="11">
        <v>28200.0</v>
      </c>
      <c r="D387" s="10" t="str">
        <f t="shared" si="27"/>
        <v>DETERMINA N. 574 DEL 06/09/2017</v>
      </c>
      <c r="E387" s="8" t="s">
        <v>578</v>
      </c>
      <c r="F387" s="8" t="s">
        <v>12</v>
      </c>
      <c r="G387" s="8" t="s">
        <v>376</v>
      </c>
      <c r="H387" s="9"/>
      <c r="I387" s="9"/>
      <c r="J387" s="9"/>
      <c r="K387" s="9"/>
      <c r="L387" s="9"/>
      <c r="M387" s="9"/>
      <c r="N387" s="9"/>
      <c r="O387" s="9"/>
      <c r="P387" s="9"/>
    </row>
    <row r="388" ht="30.0" customHeight="1">
      <c r="A388" s="4" t="s">
        <v>32</v>
      </c>
      <c r="B388" s="5" t="s">
        <v>33</v>
      </c>
      <c r="C388" s="11">
        <v>1400.0</v>
      </c>
      <c r="D388" s="10" t="str">
        <f t="shared" si="27"/>
        <v>DETERMINA N. 574 DEL 06/09/2017</v>
      </c>
      <c r="E388" s="8" t="s">
        <v>620</v>
      </c>
      <c r="F388" s="8" t="s">
        <v>12</v>
      </c>
      <c r="G388" s="8" t="s">
        <v>376</v>
      </c>
      <c r="H388" s="9"/>
      <c r="I388" s="9"/>
      <c r="J388" s="9"/>
      <c r="K388" s="9"/>
      <c r="L388" s="9"/>
      <c r="M388" s="9"/>
      <c r="N388" s="9"/>
      <c r="O388" s="9"/>
      <c r="P388" s="9"/>
    </row>
    <row r="389" ht="30.0" customHeight="1">
      <c r="A389" s="4" t="s">
        <v>131</v>
      </c>
      <c r="B389" s="5" t="s">
        <v>132</v>
      </c>
      <c r="C389" s="11">
        <v>21600.0</v>
      </c>
      <c r="D389" s="10" t="str">
        <f t="shared" ref="D389:D394" si="28">HYPERLINK("http://www.usrc.it/AppRendiConta/det_575_20170906.pdf","DETERMINA N. 575 DEL 06/09/2017")</f>
        <v>DETERMINA N. 575 DEL 06/09/2017</v>
      </c>
      <c r="E389" s="8" t="s">
        <v>622</v>
      </c>
      <c r="F389" s="8" t="s">
        <v>12</v>
      </c>
      <c r="G389" s="8" t="s">
        <v>376</v>
      </c>
      <c r="H389" s="9"/>
      <c r="I389" s="9"/>
      <c r="J389" s="9"/>
      <c r="K389" s="9"/>
      <c r="L389" s="9"/>
      <c r="M389" s="9"/>
      <c r="N389" s="9"/>
      <c r="O389" s="9"/>
      <c r="P389" s="9"/>
    </row>
    <row r="390" ht="30.0" customHeight="1">
      <c r="A390" s="4" t="s">
        <v>63</v>
      </c>
      <c r="B390" s="13" t="s">
        <v>64</v>
      </c>
      <c r="C390" s="11">
        <v>15473.33</v>
      </c>
      <c r="D390" s="10" t="str">
        <f t="shared" si="28"/>
        <v>DETERMINA N. 575 DEL 06/09/2017</v>
      </c>
      <c r="E390" s="5" t="s">
        <v>578</v>
      </c>
      <c r="F390" s="5" t="s">
        <v>12</v>
      </c>
      <c r="G390" s="5" t="s">
        <v>376</v>
      </c>
      <c r="H390" s="9"/>
      <c r="I390" s="9"/>
      <c r="J390" s="9"/>
      <c r="K390" s="9"/>
      <c r="L390" s="9"/>
      <c r="M390" s="9"/>
      <c r="N390" s="9"/>
      <c r="O390" s="9"/>
      <c r="P390" s="9"/>
    </row>
    <row r="391" ht="30.0" customHeight="1">
      <c r="A391" s="4" t="s">
        <v>293</v>
      </c>
      <c r="B391" s="5" t="s">
        <v>294</v>
      </c>
      <c r="C391" s="11">
        <v>9500.0</v>
      </c>
      <c r="D391" s="10" t="str">
        <f t="shared" si="28"/>
        <v>DETERMINA N. 575 DEL 06/09/2017</v>
      </c>
      <c r="E391" s="5" t="s">
        <v>623</v>
      </c>
      <c r="F391" s="5" t="s">
        <v>12</v>
      </c>
      <c r="G391" s="5" t="s">
        <v>376</v>
      </c>
      <c r="H391" s="9"/>
      <c r="I391" s="9"/>
      <c r="J391" s="9"/>
      <c r="K391" s="9"/>
      <c r="L391" s="9"/>
      <c r="M391" s="9"/>
      <c r="N391" s="9"/>
      <c r="O391" s="9"/>
      <c r="P391" s="9"/>
    </row>
    <row r="392" ht="30.0" customHeight="1">
      <c r="A392" s="4" t="s">
        <v>235</v>
      </c>
      <c r="B392" s="5" t="s">
        <v>236</v>
      </c>
      <c r="C392" s="11">
        <v>20800.0</v>
      </c>
      <c r="D392" s="10" t="str">
        <f t="shared" si="28"/>
        <v>DETERMINA N. 575 DEL 06/09/2017</v>
      </c>
      <c r="E392" s="8" t="s">
        <v>624</v>
      </c>
      <c r="F392" s="8" t="s">
        <v>12</v>
      </c>
      <c r="G392" s="8" t="s">
        <v>376</v>
      </c>
      <c r="H392" s="9"/>
      <c r="I392" s="9"/>
      <c r="J392" s="9"/>
      <c r="K392" s="9"/>
      <c r="L392" s="9"/>
      <c r="M392" s="9"/>
      <c r="N392" s="9"/>
      <c r="O392" s="9"/>
      <c r="P392" s="9"/>
    </row>
    <row r="393" ht="30.0" customHeight="1">
      <c r="A393" s="4" t="s">
        <v>625</v>
      </c>
      <c r="B393" s="5" t="s">
        <v>626</v>
      </c>
      <c r="C393" s="11">
        <v>36290.32</v>
      </c>
      <c r="D393" s="10" t="str">
        <f t="shared" si="28"/>
        <v>DETERMINA N. 575 DEL 06/09/2017</v>
      </c>
      <c r="E393" s="8" t="s">
        <v>627</v>
      </c>
      <c r="F393" s="8" t="s">
        <v>12</v>
      </c>
      <c r="G393" s="8" t="s">
        <v>376</v>
      </c>
      <c r="H393" s="9"/>
      <c r="I393" s="9"/>
      <c r="J393" s="9"/>
      <c r="K393" s="9"/>
      <c r="L393" s="9"/>
      <c r="M393" s="9"/>
      <c r="N393" s="9"/>
      <c r="O393" s="9"/>
      <c r="P393" s="9"/>
    </row>
    <row r="394" ht="30.0" customHeight="1">
      <c r="A394" s="4" t="s">
        <v>628</v>
      </c>
      <c r="B394" s="5" t="s">
        <v>629</v>
      </c>
      <c r="C394" s="11">
        <v>6000.0</v>
      </c>
      <c r="D394" s="10" t="str">
        <f t="shared" si="28"/>
        <v>DETERMINA N. 575 DEL 06/09/2017</v>
      </c>
      <c r="E394" s="5" t="s">
        <v>630</v>
      </c>
      <c r="F394" s="8" t="s">
        <v>12</v>
      </c>
      <c r="G394" s="8" t="s">
        <v>376</v>
      </c>
      <c r="H394" s="9"/>
      <c r="I394" s="9"/>
      <c r="J394" s="9"/>
      <c r="K394" s="9"/>
      <c r="L394" s="9"/>
      <c r="M394" s="9"/>
      <c r="N394" s="9"/>
      <c r="O394" s="9"/>
      <c r="P394" s="9"/>
    </row>
    <row r="395" ht="30.0" customHeight="1">
      <c r="A395" s="4" t="s">
        <v>69</v>
      </c>
      <c r="B395" s="5" t="s">
        <v>70</v>
      </c>
      <c r="C395" s="11">
        <v>7085.76</v>
      </c>
      <c r="D395" s="10" t="str">
        <f t="shared" ref="D395:D402" si="29">HYPERLINK("http://www.usrc.it/AppRendiConta/det_576_20170906.pdf","DETERMINA N. 576 DEL 06/09/2017")</f>
        <v>DETERMINA N. 576 DEL 06/09/2017</v>
      </c>
      <c r="E395" s="8" t="s">
        <v>631</v>
      </c>
      <c r="F395" s="8" t="s">
        <v>12</v>
      </c>
      <c r="G395" s="8" t="s">
        <v>366</v>
      </c>
      <c r="H395" s="9"/>
      <c r="I395" s="9"/>
      <c r="J395" s="9"/>
      <c r="K395" s="9"/>
      <c r="L395" s="9"/>
      <c r="M395" s="9"/>
      <c r="N395" s="9"/>
      <c r="O395" s="9"/>
      <c r="P395" s="9"/>
    </row>
    <row r="396" ht="30.0" customHeight="1">
      <c r="A396" s="4" t="s">
        <v>175</v>
      </c>
      <c r="B396" s="5" t="s">
        <v>176</v>
      </c>
      <c r="C396" s="11">
        <v>10386.7</v>
      </c>
      <c r="D396" s="10" t="str">
        <f t="shared" si="29"/>
        <v>DETERMINA N. 576 DEL 06/09/2017</v>
      </c>
      <c r="E396" s="8" t="s">
        <v>632</v>
      </c>
      <c r="F396" s="8" t="s">
        <v>12</v>
      </c>
      <c r="G396" s="8" t="s">
        <v>366</v>
      </c>
      <c r="H396" s="9"/>
      <c r="I396" s="9"/>
      <c r="J396" s="9"/>
      <c r="K396" s="9"/>
      <c r="L396" s="9"/>
      <c r="M396" s="9"/>
      <c r="N396" s="9"/>
      <c r="O396" s="9"/>
      <c r="P396" s="9"/>
    </row>
    <row r="397" ht="30.0" customHeight="1">
      <c r="A397" s="4" t="s">
        <v>97</v>
      </c>
      <c r="B397" s="5" t="s">
        <v>98</v>
      </c>
      <c r="C397" s="11">
        <v>854.0</v>
      </c>
      <c r="D397" s="10" t="str">
        <f t="shared" si="29"/>
        <v>DETERMINA N. 576 DEL 06/09/2017</v>
      </c>
      <c r="E397" s="8" t="s">
        <v>633</v>
      </c>
      <c r="F397" s="8" t="s">
        <v>12</v>
      </c>
      <c r="G397" s="8" t="s">
        <v>366</v>
      </c>
      <c r="H397" s="9"/>
      <c r="I397" s="9"/>
      <c r="J397" s="9"/>
      <c r="K397" s="9"/>
      <c r="L397" s="9"/>
      <c r="M397" s="9"/>
      <c r="N397" s="9"/>
      <c r="O397" s="9"/>
      <c r="P397" s="9"/>
    </row>
    <row r="398" ht="30.0" customHeight="1">
      <c r="A398" s="4" t="s">
        <v>316</v>
      </c>
      <c r="B398" s="13" t="s">
        <v>317</v>
      </c>
      <c r="C398" s="11">
        <v>8600.0</v>
      </c>
      <c r="D398" s="10" t="str">
        <f t="shared" si="29"/>
        <v>DETERMINA N. 576 DEL 06/09/2017</v>
      </c>
      <c r="E398" s="8" t="s">
        <v>634</v>
      </c>
      <c r="F398" s="8" t="s">
        <v>12</v>
      </c>
      <c r="G398" s="8" t="s">
        <v>366</v>
      </c>
      <c r="H398" s="9"/>
      <c r="I398" s="9"/>
      <c r="J398" s="9"/>
      <c r="K398" s="9"/>
      <c r="L398" s="9"/>
      <c r="M398" s="9"/>
      <c r="N398" s="9"/>
      <c r="O398" s="9"/>
      <c r="P398" s="9"/>
    </row>
    <row r="399" ht="30.0" customHeight="1">
      <c r="A399" s="4" t="s">
        <v>36</v>
      </c>
      <c r="B399" s="13" t="s">
        <v>37</v>
      </c>
      <c r="C399" s="11">
        <v>11979.2</v>
      </c>
      <c r="D399" s="10" t="str">
        <f t="shared" si="29"/>
        <v>DETERMINA N. 576 DEL 06/09/2017</v>
      </c>
      <c r="E399" s="8" t="s">
        <v>344</v>
      </c>
      <c r="F399" s="8" t="s">
        <v>12</v>
      </c>
      <c r="G399" s="8" t="s">
        <v>366</v>
      </c>
      <c r="H399" s="9"/>
      <c r="I399" s="9"/>
      <c r="J399" s="9"/>
      <c r="K399" s="9"/>
      <c r="L399" s="9"/>
      <c r="M399" s="9"/>
      <c r="N399" s="9"/>
      <c r="O399" s="9"/>
      <c r="P399" s="9"/>
    </row>
    <row r="400" ht="30.0" customHeight="1">
      <c r="A400" s="4" t="s">
        <v>159</v>
      </c>
      <c r="B400" s="13" t="s">
        <v>160</v>
      </c>
      <c r="C400" s="11">
        <v>780.8</v>
      </c>
      <c r="D400" s="10" t="str">
        <f t="shared" si="29"/>
        <v>DETERMINA N. 576 DEL 06/09/2017</v>
      </c>
      <c r="E400" s="8" t="s">
        <v>633</v>
      </c>
      <c r="F400" s="8" t="s">
        <v>12</v>
      </c>
      <c r="G400" s="8" t="s">
        <v>366</v>
      </c>
      <c r="H400" s="9"/>
      <c r="I400" s="9"/>
      <c r="J400" s="9"/>
      <c r="K400" s="9"/>
      <c r="L400" s="9"/>
      <c r="M400" s="9"/>
      <c r="N400" s="9"/>
      <c r="O400" s="9"/>
      <c r="P400" s="9"/>
    </row>
    <row r="401" ht="30.0" customHeight="1">
      <c r="A401" s="4" t="s">
        <v>32</v>
      </c>
      <c r="B401" s="13" t="s">
        <v>33</v>
      </c>
      <c r="C401" s="11">
        <v>4510.8</v>
      </c>
      <c r="D401" s="10" t="str">
        <f t="shared" si="29"/>
        <v>DETERMINA N. 576 DEL 06/09/2017</v>
      </c>
      <c r="E401" s="8" t="s">
        <v>635</v>
      </c>
      <c r="F401" s="8" t="s">
        <v>12</v>
      </c>
      <c r="G401" s="8" t="s">
        <v>366</v>
      </c>
      <c r="H401" s="9"/>
      <c r="I401" s="9"/>
      <c r="J401" s="9"/>
      <c r="K401" s="9"/>
      <c r="L401" s="9"/>
      <c r="M401" s="9"/>
      <c r="N401" s="9"/>
      <c r="O401" s="9"/>
      <c r="P401" s="9"/>
    </row>
    <row r="402" ht="30.0" customHeight="1">
      <c r="A402" s="4" t="s">
        <v>547</v>
      </c>
      <c r="B402" s="5" t="s">
        <v>548</v>
      </c>
      <c r="C402" s="11">
        <v>8764.0</v>
      </c>
      <c r="D402" s="10" t="str">
        <f t="shared" si="29"/>
        <v>DETERMINA N. 576 DEL 06/09/2017</v>
      </c>
      <c r="E402" s="8" t="s">
        <v>636</v>
      </c>
      <c r="F402" s="8" t="s">
        <v>12</v>
      </c>
      <c r="G402" s="8" t="s">
        <v>366</v>
      </c>
      <c r="H402" s="9"/>
      <c r="I402" s="9"/>
      <c r="J402" s="9"/>
      <c r="K402" s="9"/>
      <c r="L402" s="9"/>
      <c r="M402" s="9"/>
      <c r="N402" s="9"/>
      <c r="O402" s="9"/>
      <c r="P402" s="9"/>
    </row>
    <row r="403" ht="30.0" customHeight="1">
      <c r="A403" s="4" t="s">
        <v>95</v>
      </c>
      <c r="B403" s="5" t="s">
        <v>96</v>
      </c>
      <c r="C403" s="11">
        <v>36286.0</v>
      </c>
      <c r="D403" s="10" t="str">
        <f t="shared" ref="D403:D405" si="30">HYPERLINK("http://www.usrc.it/AppRendiConta/det_577_20170906.pdf","DETERMINA N. 577 DEL 06/09/2017")</f>
        <v>DETERMINA N. 577 DEL 06/09/2017</v>
      </c>
      <c r="E403" s="8" t="s">
        <v>637</v>
      </c>
      <c r="F403" s="8" t="s">
        <v>12</v>
      </c>
      <c r="G403" s="8" t="s">
        <v>366</v>
      </c>
      <c r="H403" s="9"/>
      <c r="I403" s="9"/>
      <c r="J403" s="9"/>
      <c r="K403" s="9"/>
      <c r="L403" s="9"/>
      <c r="M403" s="9"/>
      <c r="N403" s="9"/>
      <c r="O403" s="9"/>
      <c r="P403" s="9"/>
    </row>
    <row r="404" ht="30.0" customHeight="1">
      <c r="A404" s="4" t="s">
        <v>117</v>
      </c>
      <c r="B404" s="12" t="s">
        <v>118</v>
      </c>
      <c r="C404" s="11">
        <v>2550.0</v>
      </c>
      <c r="D404" s="10" t="str">
        <f t="shared" si="30"/>
        <v>DETERMINA N. 577 DEL 06/09/2017</v>
      </c>
      <c r="E404" s="8" t="s">
        <v>638</v>
      </c>
      <c r="F404" s="8" t="s">
        <v>12</v>
      </c>
      <c r="G404" s="8" t="s">
        <v>366</v>
      </c>
      <c r="H404" s="9"/>
      <c r="I404" s="9"/>
      <c r="J404" s="9"/>
      <c r="K404" s="9"/>
      <c r="L404" s="9"/>
      <c r="M404" s="9"/>
      <c r="N404" s="9"/>
      <c r="O404" s="9"/>
      <c r="P404" s="9"/>
    </row>
    <row r="405" ht="30.0" customHeight="1">
      <c r="A405" s="4" t="s">
        <v>172</v>
      </c>
      <c r="B405" s="13" t="s">
        <v>173</v>
      </c>
      <c r="C405" s="11">
        <v>1800.0</v>
      </c>
      <c r="D405" s="10" t="str">
        <f t="shared" si="30"/>
        <v>DETERMINA N. 577 DEL 06/09/2017</v>
      </c>
      <c r="E405" s="8" t="s">
        <v>638</v>
      </c>
      <c r="F405" s="8" t="s">
        <v>12</v>
      </c>
      <c r="G405" s="8" t="s">
        <v>366</v>
      </c>
      <c r="H405" s="9"/>
      <c r="I405" s="9"/>
      <c r="J405" s="9"/>
      <c r="K405" s="9"/>
      <c r="L405" s="9"/>
      <c r="M405" s="9"/>
      <c r="N405" s="9"/>
      <c r="O405" s="9"/>
      <c r="P405" s="9"/>
    </row>
    <row r="406" ht="30.0" customHeight="1">
      <c r="A406" s="4" t="s">
        <v>639</v>
      </c>
      <c r="B406" s="13" t="s">
        <v>640</v>
      </c>
      <c r="C406" s="11">
        <v>765.0</v>
      </c>
      <c r="D406" s="10" t="str">
        <f>HYPERLINK("http://www.usrc.it/AppRendiConta/det_578_20170906.pdf","DETERMINA N. 578 DEL 06/09/2017")</f>
        <v>DETERMINA N. 578 DEL 06/09/2017</v>
      </c>
      <c r="E406" s="8" t="s">
        <v>641</v>
      </c>
      <c r="F406" s="8" t="s">
        <v>12</v>
      </c>
      <c r="G406" s="8" t="s">
        <v>366</v>
      </c>
      <c r="H406" s="9"/>
      <c r="I406" s="9"/>
      <c r="J406" s="9"/>
      <c r="K406" s="9"/>
      <c r="L406" s="9"/>
      <c r="M406" s="9"/>
      <c r="N406" s="9"/>
      <c r="O406" s="9"/>
      <c r="P406" s="9"/>
    </row>
    <row r="407" ht="30.0" customHeight="1">
      <c r="A407" s="4" t="s">
        <v>278</v>
      </c>
      <c r="B407" s="5" t="s">
        <v>279</v>
      </c>
      <c r="C407" s="11">
        <v>38565.96</v>
      </c>
      <c r="D407" s="10" t="str">
        <f>HYPERLINK("http://www.usrc.it/AppRendiConta/det_579_20170906.pdf","DETERMINA N. 579 DEL 06/09/2017")</f>
        <v>DETERMINA N. 579 DEL 06/09/2017</v>
      </c>
      <c r="E407" s="8" t="s">
        <v>642</v>
      </c>
      <c r="F407" s="8" t="s">
        <v>12</v>
      </c>
      <c r="G407" s="8" t="s">
        <v>13</v>
      </c>
      <c r="H407" s="9"/>
      <c r="I407" s="9"/>
      <c r="J407" s="9"/>
      <c r="K407" s="9"/>
      <c r="L407" s="9"/>
      <c r="M407" s="9"/>
      <c r="N407" s="9"/>
      <c r="O407" s="9"/>
      <c r="P407" s="9"/>
    </row>
    <row r="408" ht="30.0" customHeight="1">
      <c r="A408" s="4" t="s">
        <v>251</v>
      </c>
      <c r="B408" s="5" t="s">
        <v>252</v>
      </c>
      <c r="C408" s="11">
        <v>147569.72</v>
      </c>
      <c r="D408" s="10" t="str">
        <f>HYPERLINK("http://www.usrc.it/AppRendiConta/det_585_20170906.pdf","DETERMINA N. 585 DEL 06/09/2017")</f>
        <v>DETERMINA N. 585 DEL 06/09/2017</v>
      </c>
      <c r="E408" s="8" t="s">
        <v>643</v>
      </c>
      <c r="F408" s="8" t="s">
        <v>12</v>
      </c>
      <c r="G408" s="8" t="s">
        <v>24</v>
      </c>
      <c r="H408" s="9"/>
      <c r="I408" s="9"/>
      <c r="J408" s="9"/>
      <c r="K408" s="9"/>
      <c r="L408" s="9"/>
      <c r="M408" s="9"/>
      <c r="N408" s="9"/>
      <c r="O408" s="9"/>
      <c r="P408" s="9"/>
    </row>
    <row r="409" ht="30.0" customHeight="1">
      <c r="A409" s="4" t="s">
        <v>55</v>
      </c>
      <c r="B409" s="5" t="s">
        <v>56</v>
      </c>
      <c r="C409" s="11">
        <v>11660.87</v>
      </c>
      <c r="D409" s="10" t="str">
        <f>HYPERLINK("http://www.usrc.it/AppRendiConta/det_586_20170906.pdf","DETERMINA N. 586 DEL 06/09/2017")</f>
        <v>DETERMINA N. 586 DEL 06/09/2017</v>
      </c>
      <c r="E409" s="8" t="s">
        <v>644</v>
      </c>
      <c r="F409" s="8" t="s">
        <v>12</v>
      </c>
      <c r="G409" s="8" t="s">
        <v>206</v>
      </c>
      <c r="H409" s="9"/>
      <c r="I409" s="9"/>
      <c r="J409" s="9"/>
      <c r="K409" s="9"/>
      <c r="L409" s="9"/>
      <c r="M409" s="9"/>
      <c r="N409" s="9"/>
      <c r="O409" s="9"/>
      <c r="P409" s="9"/>
    </row>
    <row r="410" ht="30.0" customHeight="1">
      <c r="A410" s="4" t="s">
        <v>120</v>
      </c>
      <c r="B410" s="5" t="s">
        <v>121</v>
      </c>
      <c r="C410" s="11">
        <v>243148.22</v>
      </c>
      <c r="D410" s="10" t="str">
        <f>HYPERLINK("http://www.usrc.it/AppRendiConta/det_588_20170906.pdf","DETERMINA N. 588 DEL 06/09/2017")</f>
        <v>DETERMINA N. 588 DEL 06/09/2017</v>
      </c>
      <c r="E410" s="8" t="s">
        <v>645</v>
      </c>
      <c r="F410" s="8" t="s">
        <v>12</v>
      </c>
      <c r="G410" s="8" t="s">
        <v>24</v>
      </c>
      <c r="H410" s="9"/>
      <c r="I410" s="9"/>
      <c r="J410" s="9"/>
      <c r="K410" s="9"/>
      <c r="L410" s="9"/>
      <c r="M410" s="9"/>
      <c r="N410" s="9"/>
      <c r="O410" s="9"/>
      <c r="P410" s="9"/>
    </row>
    <row r="411" ht="30.0" customHeight="1">
      <c r="A411" s="4" t="s">
        <v>59</v>
      </c>
      <c r="B411" s="5" t="s">
        <v>60</v>
      </c>
      <c r="C411" s="11">
        <v>22424.46</v>
      </c>
      <c r="D411" s="10" t="str">
        <f>HYPERLINK("http://www.usrc.it/AppRendiConta/det_589_20170906.pdf","DETERMINA N. 589 DEL 06/09/2017")</f>
        <v>DETERMINA N. 589 DEL 06/09/2017</v>
      </c>
      <c r="E411" s="5" t="s">
        <v>646</v>
      </c>
      <c r="F411" s="5" t="s">
        <v>12</v>
      </c>
      <c r="G411" s="5" t="s">
        <v>206</v>
      </c>
      <c r="H411" s="9"/>
      <c r="I411" s="9"/>
      <c r="J411" s="9"/>
      <c r="K411" s="9"/>
      <c r="L411" s="9"/>
      <c r="M411" s="9"/>
      <c r="N411" s="9"/>
      <c r="O411" s="9"/>
      <c r="P411" s="9"/>
    </row>
    <row r="412" ht="30.0" customHeight="1">
      <c r="A412" s="4" t="s">
        <v>52</v>
      </c>
      <c r="B412" s="5" t="s">
        <v>53</v>
      </c>
      <c r="C412" s="11">
        <v>83909.24</v>
      </c>
      <c r="D412" s="10" t="str">
        <f>HYPERLINK("http://www.usrc.it/AppRendiConta/det_592_20170906.pdf","DETERMINA N. 592 DEL 06/09/2017")</f>
        <v>DETERMINA N. 592 DEL 06/09/2017</v>
      </c>
      <c r="E412" s="5" t="s">
        <v>647</v>
      </c>
      <c r="F412" s="5" t="s">
        <v>12</v>
      </c>
      <c r="G412" s="5" t="s">
        <v>24</v>
      </c>
      <c r="H412" s="9"/>
      <c r="I412" s="9"/>
      <c r="J412" s="9"/>
      <c r="K412" s="9"/>
      <c r="L412" s="9"/>
      <c r="M412" s="9"/>
      <c r="N412" s="9"/>
      <c r="O412" s="9"/>
      <c r="P412" s="9"/>
    </row>
    <row r="413" ht="30.0" customHeight="1">
      <c r="A413" s="4" t="s">
        <v>179</v>
      </c>
      <c r="B413" s="5" t="s">
        <v>180</v>
      </c>
      <c r="C413" s="11">
        <v>27801.04</v>
      </c>
      <c r="D413" s="10" t="str">
        <f>HYPERLINK("http://www.usrc.it/AppRendiConta/det_594_20170906.pdf","DETERMINA N. 594 DEL 06/09/2017")</f>
        <v>DETERMINA N. 594 DEL 06/09/2017</v>
      </c>
      <c r="E413" s="5" t="s">
        <v>648</v>
      </c>
      <c r="F413" s="5" t="s">
        <v>12</v>
      </c>
      <c r="G413" s="5" t="s">
        <v>24</v>
      </c>
      <c r="H413" s="9"/>
      <c r="I413" s="9"/>
      <c r="J413" s="9"/>
      <c r="K413" s="9"/>
      <c r="L413" s="9"/>
      <c r="M413" s="9"/>
      <c r="N413" s="9"/>
      <c r="O413" s="9"/>
      <c r="P413" s="9"/>
    </row>
    <row r="414" ht="30.0" customHeight="1">
      <c r="A414" s="4" t="s">
        <v>190</v>
      </c>
      <c r="B414" s="5" t="s">
        <v>191</v>
      </c>
      <c r="C414" s="11">
        <v>53731.23</v>
      </c>
      <c r="D414" s="10" t="str">
        <f>HYPERLINK("http://www.usrc.it/AppRendiConta/det_595_20170906.pdf","DETERMINA N. 595 DEL 06/09/2017")</f>
        <v>DETERMINA N. 595 DEL 06/09/2017</v>
      </c>
      <c r="E414" s="5" t="s">
        <v>649</v>
      </c>
      <c r="F414" s="8" t="s">
        <v>12</v>
      </c>
      <c r="G414" s="8" t="s">
        <v>24</v>
      </c>
      <c r="H414" s="9"/>
      <c r="I414" s="9"/>
      <c r="J414" s="9"/>
      <c r="K414" s="9"/>
      <c r="L414" s="9"/>
      <c r="M414" s="9"/>
      <c r="N414" s="9"/>
      <c r="O414" s="9"/>
      <c r="P414" s="9"/>
    </row>
    <row r="415" ht="30.0" customHeight="1">
      <c r="A415" s="4" t="s">
        <v>32</v>
      </c>
      <c r="B415" s="5" t="s">
        <v>33</v>
      </c>
      <c r="C415" s="11">
        <v>5962.62</v>
      </c>
      <c r="D415" s="10" t="str">
        <f>HYPERLINK("http://www.usrc.it/AppRendiConta/det_597_20170906.pdf","DETERMINA N. 597 DEL 06/09/2017")</f>
        <v>DETERMINA N. 597 DEL 06/09/2017</v>
      </c>
      <c r="E415" s="5" t="s">
        <v>650</v>
      </c>
      <c r="F415" s="8" t="s">
        <v>12</v>
      </c>
      <c r="G415" s="8" t="s">
        <v>366</v>
      </c>
      <c r="H415" s="9"/>
      <c r="I415" s="9"/>
      <c r="J415" s="9"/>
      <c r="K415" s="9"/>
      <c r="L415" s="9"/>
      <c r="M415" s="9"/>
      <c r="N415" s="9"/>
      <c r="O415" s="9"/>
      <c r="P415" s="9"/>
    </row>
    <row r="416" ht="30.0" customHeight="1">
      <c r="A416" s="4" t="s">
        <v>248</v>
      </c>
      <c r="B416" s="5" t="s">
        <v>249</v>
      </c>
      <c r="C416" s="11">
        <v>19759.9</v>
      </c>
      <c r="D416" s="10" t="str">
        <f>HYPERLINK("http://www.usrc.it/AppRendiConta/det_598_20170906.pdf","DETERMINA N. 598 DEL 06/09/2017")</f>
        <v>DETERMINA N. 598 DEL 06/09/2017</v>
      </c>
      <c r="E416" s="8" t="s">
        <v>651</v>
      </c>
      <c r="F416" s="8" t="s">
        <v>12</v>
      </c>
      <c r="G416" s="8" t="s">
        <v>366</v>
      </c>
      <c r="H416" s="9"/>
      <c r="I416" s="9"/>
      <c r="J416" s="9"/>
      <c r="K416" s="9"/>
      <c r="L416" s="9"/>
      <c r="M416" s="9"/>
      <c r="N416" s="9"/>
      <c r="O416" s="9"/>
      <c r="P416" s="9"/>
    </row>
    <row r="417" ht="30.0" customHeight="1">
      <c r="A417" s="4" t="s">
        <v>21</v>
      </c>
      <c r="B417" s="5" t="s">
        <v>22</v>
      </c>
      <c r="C417" s="11">
        <v>2338.55</v>
      </c>
      <c r="D417" s="10" t="str">
        <f>HYPERLINK("http://www.usrc.it/AppRendiConta/det_599_20170906.pdf","DETERMINA N. 599 DEL 06/09/2017")</f>
        <v>DETERMINA N. 599 DEL 06/09/2017</v>
      </c>
      <c r="E417" s="8" t="s">
        <v>652</v>
      </c>
      <c r="F417" s="8" t="s">
        <v>12</v>
      </c>
      <c r="G417" s="8" t="s">
        <v>24</v>
      </c>
      <c r="H417" s="9"/>
      <c r="I417" s="9"/>
      <c r="J417" s="9"/>
      <c r="K417" s="9"/>
      <c r="L417" s="9"/>
      <c r="M417" s="9"/>
      <c r="N417" s="9"/>
      <c r="O417" s="9"/>
      <c r="P417" s="9"/>
    </row>
    <row r="418" ht="30.0" customHeight="1">
      <c r="A418" s="4" t="s">
        <v>190</v>
      </c>
      <c r="B418" s="5" t="s">
        <v>191</v>
      </c>
      <c r="C418" s="11">
        <v>892607.7</v>
      </c>
      <c r="D418" s="10" t="str">
        <f>HYPERLINK("http://www.usrc.it/AppRendiConta/det_600_20170913.pdf","DETERMINA N. 600 DEL 13/09/2017")</f>
        <v>DETERMINA N. 600 DEL 13/09/2017</v>
      </c>
      <c r="E418" s="8" t="s">
        <v>653</v>
      </c>
      <c r="F418" s="8" t="s">
        <v>12</v>
      </c>
      <c r="G418" s="8" t="s">
        <v>62</v>
      </c>
      <c r="H418" s="9"/>
      <c r="I418" s="9"/>
      <c r="J418" s="9"/>
      <c r="K418" s="9"/>
      <c r="L418" s="9"/>
      <c r="M418" s="9"/>
      <c r="N418" s="9"/>
      <c r="O418" s="9"/>
      <c r="P418" s="9"/>
    </row>
    <row r="419" ht="30.0" customHeight="1">
      <c r="A419" s="4" t="s">
        <v>654</v>
      </c>
      <c r="B419" s="5" t="s">
        <v>655</v>
      </c>
      <c r="C419" s="11">
        <v>307510.58</v>
      </c>
      <c r="D419" s="10" t="str">
        <f>HYPERLINK("http://www.usrc.it/AppRendiConta/det_604_20170914.pdf","DETERMINA N. 604 DEL 14/09/2017")</f>
        <v>DETERMINA N. 604 DEL 14/09/2017</v>
      </c>
      <c r="E419" s="8" t="s">
        <v>656</v>
      </c>
      <c r="F419" s="8" t="s">
        <v>12</v>
      </c>
      <c r="G419" s="8" t="s">
        <v>204</v>
      </c>
      <c r="H419" s="9"/>
      <c r="I419" s="9"/>
      <c r="J419" s="9"/>
      <c r="K419" s="9"/>
      <c r="L419" s="9"/>
      <c r="M419" s="9"/>
      <c r="N419" s="9"/>
      <c r="O419" s="9"/>
      <c r="P419" s="9"/>
    </row>
    <row r="420" ht="30.0" customHeight="1">
      <c r="A420" s="4" t="s">
        <v>21</v>
      </c>
      <c r="B420" s="5" t="s">
        <v>22</v>
      </c>
      <c r="C420" s="11">
        <v>410370.05</v>
      </c>
      <c r="D420" s="10" t="str">
        <f>HYPERLINK("http://www.usrc.it/AppRendiConta/det_605_20170914.pdf","DETERMINA N. 605 DEL 14/09/2017")</f>
        <v>DETERMINA N. 605 DEL 14/09/2017</v>
      </c>
      <c r="E420" s="8" t="s">
        <v>657</v>
      </c>
      <c r="F420" s="8" t="s">
        <v>12</v>
      </c>
      <c r="G420" s="8" t="s">
        <v>102</v>
      </c>
      <c r="H420" s="9"/>
      <c r="I420" s="9"/>
      <c r="J420" s="9"/>
      <c r="K420" s="9"/>
      <c r="L420" s="9"/>
      <c r="M420" s="9"/>
      <c r="N420" s="9"/>
      <c r="O420" s="9"/>
      <c r="P420" s="9"/>
    </row>
    <row r="421" ht="30.0" customHeight="1">
      <c r="A421" s="4" t="s">
        <v>69</v>
      </c>
      <c r="B421" s="5" t="s">
        <v>70</v>
      </c>
      <c r="C421" s="11">
        <v>72526.76</v>
      </c>
      <c r="D421" s="10" t="str">
        <f>HYPERLINK("http://www.usrc.it/AppRendiConta/det_615_20170925.pdf","DETERMINA N. 615 DEL 25/09/2017")</f>
        <v>DETERMINA N. 615 DEL 25/09/2017</v>
      </c>
      <c r="E421" s="8" t="s">
        <v>658</v>
      </c>
      <c r="F421" s="8" t="s">
        <v>12</v>
      </c>
      <c r="G421" s="8" t="s">
        <v>24</v>
      </c>
      <c r="H421" s="9"/>
      <c r="I421" s="9"/>
      <c r="J421" s="9"/>
      <c r="K421" s="9"/>
      <c r="L421" s="9"/>
      <c r="M421" s="9"/>
      <c r="N421" s="9"/>
      <c r="O421" s="9"/>
      <c r="P421" s="9"/>
    </row>
    <row r="422" ht="30.0" customHeight="1">
      <c r="A422" s="4" t="s">
        <v>547</v>
      </c>
      <c r="B422" s="5" t="s">
        <v>548</v>
      </c>
      <c r="C422" s="11">
        <v>4362395.3</v>
      </c>
      <c r="D422" s="10" t="str">
        <f>HYPERLINK("http://www.usrc.it/AppRendiConta/det_616_20170925.pdf","DETERMINA N. 616 DEL 25/09/2017")</f>
        <v>DETERMINA N. 616 DEL 25/09/2017</v>
      </c>
      <c r="E422" s="8" t="s">
        <v>659</v>
      </c>
      <c r="F422" s="8" t="s">
        <v>12</v>
      </c>
      <c r="G422" s="5" t="s">
        <v>330</v>
      </c>
      <c r="H422" s="9"/>
      <c r="I422" s="9"/>
      <c r="J422" s="9"/>
      <c r="K422" s="9"/>
      <c r="L422" s="9"/>
      <c r="M422" s="9"/>
      <c r="N422" s="9"/>
      <c r="O422" s="9"/>
      <c r="P422" s="9"/>
    </row>
    <row r="423" ht="30.0" customHeight="1">
      <c r="A423" s="4" t="s">
        <v>175</v>
      </c>
      <c r="B423" s="5" t="s">
        <v>176</v>
      </c>
      <c r="C423" s="11">
        <v>2037633.4</v>
      </c>
      <c r="D423" s="10" t="str">
        <f>HYPERLINK("http://www.usrc.it/AppRendiConta/det_617_20170925.pdf","DETERMINA N. 617 DEL 25/09/2017")</f>
        <v>DETERMINA N. 617 DEL 25/09/2017</v>
      </c>
      <c r="E423" s="8" t="s">
        <v>660</v>
      </c>
      <c r="F423" s="8" t="s">
        <v>12</v>
      </c>
      <c r="G423" s="8" t="s">
        <v>13</v>
      </c>
      <c r="H423" s="9"/>
      <c r="I423" s="9"/>
      <c r="J423" s="9"/>
      <c r="K423" s="9"/>
      <c r="L423" s="9"/>
      <c r="M423" s="9"/>
      <c r="N423" s="9"/>
      <c r="O423" s="9"/>
      <c r="P423" s="9"/>
    </row>
    <row r="424" ht="30.0" customHeight="1">
      <c r="A424" s="4" t="s">
        <v>32</v>
      </c>
      <c r="B424" s="5" t="s">
        <v>33</v>
      </c>
      <c r="C424" s="11">
        <v>12500.91</v>
      </c>
      <c r="D424" s="10" t="str">
        <f>HYPERLINK("http://www.usrc.it/AppRendiConta/det_618_20170925.pdf","DETERMINA N. 618 DEL 25/09/2017")</f>
        <v>DETERMINA N. 618 DEL 25/09/2017</v>
      </c>
      <c r="E424" s="8" t="s">
        <v>661</v>
      </c>
      <c r="F424" s="8" t="s">
        <v>12</v>
      </c>
      <c r="G424" s="8" t="s">
        <v>206</v>
      </c>
      <c r="H424" s="9"/>
      <c r="I424" s="9"/>
      <c r="J424" s="9"/>
      <c r="K424" s="9"/>
      <c r="L424" s="9"/>
      <c r="M424" s="9"/>
      <c r="N424" s="9"/>
      <c r="O424" s="9"/>
      <c r="P424" s="9"/>
    </row>
    <row r="425" ht="30.0" customHeight="1">
      <c r="A425" s="4" t="s">
        <v>159</v>
      </c>
      <c r="B425" s="5" t="s">
        <v>160</v>
      </c>
      <c r="C425" s="11">
        <v>29272.33</v>
      </c>
      <c r="D425" s="10" t="str">
        <f>HYPERLINK("http://www.usrc.it/AppRendiConta/det_619_20170925.pdf","DETERMINA N. 619 DEL 25/09/2017")</f>
        <v>DETERMINA N. 619 DEL 25/09/2017</v>
      </c>
      <c r="E425" s="8" t="s">
        <v>662</v>
      </c>
      <c r="F425" s="8" t="s">
        <v>12</v>
      </c>
      <c r="G425" s="8" t="s">
        <v>663</v>
      </c>
      <c r="H425" s="9"/>
      <c r="I425" s="9"/>
      <c r="J425" s="9"/>
      <c r="K425" s="9"/>
      <c r="L425" s="9"/>
      <c r="M425" s="9"/>
      <c r="N425" s="9"/>
      <c r="O425" s="9"/>
      <c r="P425" s="9"/>
    </row>
    <row r="426" ht="30.0" customHeight="1">
      <c r="A426" s="4" t="s">
        <v>103</v>
      </c>
      <c r="B426" s="5" t="s">
        <v>104</v>
      </c>
      <c r="C426" s="11">
        <v>3415546.81</v>
      </c>
      <c r="D426" s="10" t="str">
        <f>HYPERLINK("http://www.usrc.it/AppRendiConta/det_620_20170925.pdf","DETERMINA N. 620 DEL 25/09/2017")</f>
        <v>DETERMINA N. 620 DEL 25/09/2017</v>
      </c>
      <c r="E426" s="8" t="s">
        <v>664</v>
      </c>
      <c r="F426" s="8" t="s">
        <v>12</v>
      </c>
      <c r="G426" s="8" t="s">
        <v>479</v>
      </c>
      <c r="H426" s="9"/>
      <c r="I426" s="9"/>
      <c r="J426" s="9"/>
      <c r="K426" s="9"/>
      <c r="L426" s="9"/>
      <c r="M426" s="9"/>
      <c r="N426" s="9"/>
      <c r="O426" s="9"/>
      <c r="P426" s="9"/>
    </row>
    <row r="427" ht="30.0" customHeight="1">
      <c r="A427" s="4" t="s">
        <v>14</v>
      </c>
      <c r="B427" s="5" t="s">
        <v>15</v>
      </c>
      <c r="C427" s="11">
        <v>2415241.15</v>
      </c>
      <c r="D427" s="10" t="str">
        <f>HYPERLINK("http://www.usrc.it/AppRendiConta/det_621_20170925.pdf","DETERMINA N. 621 DEL 25/09/2017")</f>
        <v>DETERMINA N. 621 DEL 25/09/2017</v>
      </c>
      <c r="E427" s="8" t="s">
        <v>665</v>
      </c>
      <c r="F427" s="8" t="s">
        <v>12</v>
      </c>
      <c r="G427" s="8" t="s">
        <v>13</v>
      </c>
      <c r="H427" s="9"/>
      <c r="I427" s="9"/>
      <c r="J427" s="9"/>
      <c r="K427" s="9"/>
      <c r="L427" s="9"/>
      <c r="M427" s="9"/>
      <c r="N427" s="9"/>
      <c r="O427" s="9"/>
      <c r="P427" s="9"/>
    </row>
    <row r="428" ht="30.0" customHeight="1">
      <c r="A428" s="4" t="s">
        <v>145</v>
      </c>
      <c r="B428" s="5" t="s">
        <v>146</v>
      </c>
      <c r="C428" s="11">
        <v>30185.9</v>
      </c>
      <c r="D428" s="10" t="str">
        <f>HYPERLINK("http://www.usrc.it/AppRendiConta/det_622_20170925.pdf","DETERMINA N. 622 DEL 25/09/2017")</f>
        <v>DETERMINA N. 622 DEL 25/09/2017</v>
      </c>
      <c r="E428" s="5" t="s">
        <v>666</v>
      </c>
      <c r="F428" s="5" t="s">
        <v>12</v>
      </c>
      <c r="G428" s="5" t="s">
        <v>58</v>
      </c>
      <c r="H428" s="9"/>
      <c r="I428" s="9"/>
      <c r="J428" s="9"/>
      <c r="K428" s="9"/>
      <c r="L428" s="9"/>
      <c r="M428" s="9"/>
      <c r="N428" s="9"/>
      <c r="O428" s="9"/>
      <c r="P428" s="9"/>
    </row>
    <row r="429" ht="30.0" customHeight="1">
      <c r="A429" s="4" t="s">
        <v>190</v>
      </c>
      <c r="B429" s="5" t="s">
        <v>191</v>
      </c>
      <c r="C429" s="11">
        <v>57096.0</v>
      </c>
      <c r="D429" s="10" t="str">
        <f>HYPERLINK("http://www.usrc.it/AppRendiConta/det_623_20170925.pdf","DETERMINA N. 623 DEL 25/09/2017")</f>
        <v>DETERMINA N. 623 DEL 25/09/2017</v>
      </c>
      <c r="E429" s="5" t="s">
        <v>667</v>
      </c>
      <c r="F429" s="5" t="s">
        <v>12</v>
      </c>
      <c r="G429" s="5" t="s">
        <v>663</v>
      </c>
      <c r="H429" s="9"/>
      <c r="I429" s="9"/>
      <c r="J429" s="9"/>
      <c r="K429" s="9"/>
      <c r="L429" s="9"/>
      <c r="M429" s="9"/>
      <c r="N429" s="9"/>
      <c r="O429" s="9"/>
      <c r="P429" s="9"/>
    </row>
    <row r="430" ht="30.0" customHeight="1">
      <c r="A430" s="4" t="s">
        <v>32</v>
      </c>
      <c r="B430" s="5" t="s">
        <v>33</v>
      </c>
      <c r="C430" s="11">
        <v>17048.28</v>
      </c>
      <c r="D430" s="10" t="str">
        <f>HYPERLINK("http://www.usrc.it/AppRendiConta/det_624_20170925.pdf","DETERMINA N. 624 DEL 25/09/2017")</f>
        <v>DETERMINA N. 624 DEL 25/09/2017</v>
      </c>
      <c r="E430" s="5" t="s">
        <v>668</v>
      </c>
      <c r="F430" s="5" t="s">
        <v>12</v>
      </c>
      <c r="G430" s="5" t="s">
        <v>663</v>
      </c>
      <c r="H430" s="9"/>
      <c r="I430" s="9"/>
      <c r="J430" s="9"/>
      <c r="K430" s="9"/>
      <c r="L430" s="9"/>
      <c r="M430" s="9"/>
      <c r="N430" s="9"/>
      <c r="O430" s="9"/>
      <c r="P430" s="9"/>
    </row>
    <row r="431" ht="30.0" customHeight="1">
      <c r="A431" s="4" t="s">
        <v>547</v>
      </c>
      <c r="B431" s="5" t="s">
        <v>548</v>
      </c>
      <c r="C431" s="11">
        <v>23436.2</v>
      </c>
      <c r="D431" s="10" t="str">
        <f>HYPERLINK("http://www.usrc.it/AppRendiConta/det_625_20170925.pdf","DETERMINA N. 625 DEL 25/09/2017")</f>
        <v>DETERMINA N. 625 DEL 25/09/2017</v>
      </c>
      <c r="E431" s="5" t="s">
        <v>669</v>
      </c>
      <c r="F431" s="5" t="s">
        <v>12</v>
      </c>
      <c r="G431" s="5" t="s">
        <v>366</v>
      </c>
      <c r="H431" s="9"/>
      <c r="I431" s="9"/>
      <c r="J431" s="9"/>
      <c r="K431" s="9"/>
      <c r="L431" s="9"/>
      <c r="M431" s="9"/>
      <c r="N431" s="9"/>
      <c r="O431" s="9"/>
      <c r="P431" s="9"/>
    </row>
    <row r="432" ht="30.0" customHeight="1">
      <c r="A432" s="4" t="s">
        <v>39</v>
      </c>
      <c r="B432" s="5" t="s">
        <v>40</v>
      </c>
      <c r="C432" s="11">
        <v>32540.4</v>
      </c>
      <c r="D432" s="10" t="str">
        <f>HYPERLINK("http://www.usrc.it/AppRendiConta/det_626_20170925.pdf","DETERMINA N. 626 DEL 25/09/2017")</f>
        <v>DETERMINA N. 626 DEL 25/09/2017</v>
      </c>
      <c r="E432" s="5" t="s">
        <v>670</v>
      </c>
      <c r="F432" s="5" t="s">
        <v>12</v>
      </c>
      <c r="G432" s="5" t="s">
        <v>366</v>
      </c>
      <c r="H432" s="9"/>
      <c r="I432" s="9"/>
      <c r="J432" s="9"/>
      <c r="K432" s="9"/>
      <c r="L432" s="9"/>
      <c r="M432" s="9"/>
      <c r="N432" s="9"/>
      <c r="O432" s="9"/>
      <c r="P432" s="9"/>
    </row>
    <row r="433" ht="30.0" customHeight="1">
      <c r="A433" s="4" t="s">
        <v>52</v>
      </c>
      <c r="B433" s="5" t="s">
        <v>53</v>
      </c>
      <c r="C433" s="11">
        <v>4884.79</v>
      </c>
      <c r="D433" s="10" t="str">
        <f>HYPERLINK("http://www.usrc.it/AppRendiConta/det_627_20170925.pdf","DETERMINA N. 627 DEL 25/09/2017")</f>
        <v>DETERMINA N. 627 DEL 25/09/2017</v>
      </c>
      <c r="E433" s="5" t="s">
        <v>671</v>
      </c>
      <c r="F433" s="5" t="s">
        <v>12</v>
      </c>
      <c r="G433" s="5" t="s">
        <v>24</v>
      </c>
      <c r="H433" s="9"/>
      <c r="I433" s="9"/>
      <c r="J433" s="9"/>
      <c r="K433" s="9"/>
      <c r="L433" s="9"/>
      <c r="M433" s="9"/>
      <c r="N433" s="9"/>
      <c r="O433" s="9"/>
      <c r="P433" s="9"/>
    </row>
    <row r="434" ht="30.0" customHeight="1">
      <c r="A434" s="4" t="s">
        <v>323</v>
      </c>
      <c r="B434" s="5" t="s">
        <v>324</v>
      </c>
      <c r="C434" s="11">
        <v>37906.48</v>
      </c>
      <c r="D434" s="10" t="str">
        <f>HYPERLINK("http://www.usrc.it/AppRendiConta/det_628_20170925.pdf","DETERMINA N. 628 DEL 25/09/2017")</f>
        <v>DETERMINA N. 628 DEL 25/09/2017</v>
      </c>
      <c r="E434" s="5" t="s">
        <v>672</v>
      </c>
      <c r="F434" s="5" t="s">
        <v>12</v>
      </c>
      <c r="G434" s="5" t="s">
        <v>24</v>
      </c>
      <c r="H434" s="9"/>
      <c r="I434" s="9"/>
      <c r="J434" s="9"/>
      <c r="K434" s="9"/>
      <c r="L434" s="9"/>
      <c r="M434" s="9"/>
      <c r="N434" s="9"/>
      <c r="O434" s="9"/>
      <c r="P434" s="9"/>
    </row>
    <row r="435" ht="30.0" customHeight="1">
      <c r="A435" s="4" t="s">
        <v>185</v>
      </c>
      <c r="B435" s="5" t="s">
        <v>186</v>
      </c>
      <c r="C435" s="11">
        <v>60000.0</v>
      </c>
      <c r="D435" s="10" t="str">
        <f>HYPERLINK("http://www.usrc.it/AppRendiConta/det_629_20170925.pdf","DETERMINA N. 629 DEL 25/09/2017")</f>
        <v>DETERMINA N. 629 DEL 25/09/2017</v>
      </c>
      <c r="E435" s="5" t="s">
        <v>673</v>
      </c>
      <c r="F435" s="5" t="s">
        <v>12</v>
      </c>
      <c r="G435" s="5" t="s">
        <v>58</v>
      </c>
      <c r="H435" s="9"/>
      <c r="I435" s="9"/>
      <c r="J435" s="9"/>
      <c r="K435" s="9"/>
      <c r="L435" s="9"/>
      <c r="M435" s="9"/>
      <c r="N435" s="9"/>
      <c r="O435" s="9"/>
      <c r="P435" s="9"/>
    </row>
    <row r="436" ht="30.0" customHeight="1">
      <c r="A436" s="4" t="s">
        <v>674</v>
      </c>
      <c r="B436" s="5" t="s">
        <v>675</v>
      </c>
      <c r="C436" s="11">
        <v>203266.06</v>
      </c>
      <c r="D436" s="10" t="str">
        <f>HYPERLINK("http://www.usrc.it/AppRendiConta/det_630_20170927.pdf","DETERMINA N. 630 DEL 27/09/2017")</f>
        <v>DETERMINA N. 630 DEL 27/09/2017</v>
      </c>
      <c r="E436" s="5" t="s">
        <v>676</v>
      </c>
      <c r="F436" s="5" t="s">
        <v>12</v>
      </c>
      <c r="G436" s="5" t="s">
        <v>13</v>
      </c>
      <c r="H436" s="9"/>
      <c r="I436" s="9"/>
      <c r="J436" s="9"/>
      <c r="K436" s="9"/>
      <c r="L436" s="9"/>
      <c r="M436" s="9"/>
      <c r="N436" s="9"/>
      <c r="O436" s="9"/>
      <c r="P436" s="9"/>
    </row>
    <row r="437" ht="30.0" customHeight="1">
      <c r="A437" s="4" t="s">
        <v>408</v>
      </c>
      <c r="B437" s="5" t="s">
        <v>409</v>
      </c>
      <c r="C437" s="11">
        <v>14414.39</v>
      </c>
      <c r="D437" s="10" t="str">
        <f>HYPERLINK("http://www.usrc.it/AppRendiConta/det_634_20170927.pdf","DETERMINA N. 634 DEL 27/09/2017")</f>
        <v>DETERMINA N. 634 DEL 27/09/2017</v>
      </c>
      <c r="E437" s="5" t="s">
        <v>677</v>
      </c>
      <c r="F437" s="5" t="s">
        <v>12</v>
      </c>
      <c r="G437" s="5" t="s">
        <v>13</v>
      </c>
      <c r="H437" s="9"/>
      <c r="I437" s="9"/>
      <c r="J437" s="9"/>
      <c r="K437" s="9"/>
      <c r="L437" s="9"/>
      <c r="M437" s="9"/>
      <c r="N437" s="9"/>
      <c r="O437" s="9"/>
      <c r="P437" s="9"/>
    </row>
    <row r="438" ht="30.0" customHeight="1">
      <c r="A438" s="4" t="s">
        <v>18</v>
      </c>
      <c r="B438" s="5" t="s">
        <v>19</v>
      </c>
      <c r="C438" s="11">
        <v>2544835.62</v>
      </c>
      <c r="D438" s="10" t="str">
        <f>HYPERLINK("http://www.usrc.it/AppRendiConta/det_637_20170929.pdf","DETERMINA N. 637 DEL 29/09/2017")</f>
        <v>DETERMINA N. 637 DEL 29/09/2017</v>
      </c>
      <c r="E438" s="5" t="s">
        <v>678</v>
      </c>
      <c r="F438" s="5" t="s">
        <v>12</v>
      </c>
      <c r="G438" s="5" t="s">
        <v>602</v>
      </c>
      <c r="H438" s="9"/>
      <c r="I438" s="9"/>
      <c r="J438" s="9"/>
      <c r="K438" s="9"/>
      <c r="L438" s="9"/>
      <c r="M438" s="9"/>
      <c r="N438" s="9"/>
      <c r="O438" s="9"/>
      <c r="P438" s="9"/>
    </row>
    <row r="439" ht="30.0" customHeight="1">
      <c r="A439" s="4" t="s">
        <v>316</v>
      </c>
      <c r="B439" s="5" t="s">
        <v>317</v>
      </c>
      <c r="C439" s="11">
        <v>3862945.98</v>
      </c>
      <c r="D439" s="10" t="str">
        <f>HYPERLINK("http://www.usrc.it/AppRendiConta/det_638_20170929.pdf","DETERMINA N. 638 DEL 29/09/2017")</f>
        <v>DETERMINA N. 638 DEL 29/09/2017</v>
      </c>
      <c r="E439" s="5" t="s">
        <v>351</v>
      </c>
      <c r="F439" s="5" t="s">
        <v>12</v>
      </c>
      <c r="G439" s="5" t="s">
        <v>102</v>
      </c>
      <c r="H439" s="9"/>
      <c r="I439" s="9"/>
      <c r="J439" s="9"/>
      <c r="K439" s="9"/>
      <c r="L439" s="9"/>
      <c r="M439" s="9"/>
      <c r="N439" s="9"/>
      <c r="O439" s="9"/>
      <c r="P439" s="9"/>
    </row>
    <row r="440" ht="30.0" customHeight="1">
      <c r="A440" s="4" t="s">
        <v>679</v>
      </c>
      <c r="B440" s="5" t="s">
        <v>680</v>
      </c>
      <c r="C440" s="11">
        <v>48020.73</v>
      </c>
      <c r="D440" s="10" t="str">
        <f>HYPERLINK("http://www.usrc.it/AppRendiConta/det_640_20170929.pdf","DETERMINA N. 640 DEL 29/09/2017")</f>
        <v>DETERMINA N. 640 DEL 29/09/2017</v>
      </c>
      <c r="E440" s="5" t="s">
        <v>681</v>
      </c>
      <c r="F440" s="5" t="s">
        <v>12</v>
      </c>
      <c r="G440" s="5" t="s">
        <v>58</v>
      </c>
      <c r="H440" s="9"/>
      <c r="I440" s="9"/>
      <c r="J440" s="9"/>
      <c r="K440" s="9"/>
      <c r="L440" s="9"/>
      <c r="M440" s="9"/>
      <c r="N440" s="9"/>
      <c r="O440" s="9"/>
      <c r="P440" s="9"/>
    </row>
    <row r="441" ht="30.0" customHeight="1">
      <c r="A441" s="4" t="s">
        <v>131</v>
      </c>
      <c r="B441" s="5" t="s">
        <v>132</v>
      </c>
      <c r="C441" s="11">
        <v>2450000.0</v>
      </c>
      <c r="D441" s="10" t="str">
        <f>HYPERLINK("http://www.usrc.it/AppRendiConta/det_641_20170929.pdf","DETERMINA N. 641 DEL 29/09/2017")</f>
        <v>DETERMINA N. 641 DEL 29/09/2017</v>
      </c>
      <c r="E441" s="5" t="s">
        <v>682</v>
      </c>
      <c r="F441" s="5" t="s">
        <v>12</v>
      </c>
      <c r="G441" s="5" t="s">
        <v>58</v>
      </c>
      <c r="H441" s="9"/>
      <c r="I441" s="9"/>
      <c r="J441" s="9"/>
      <c r="K441" s="9"/>
      <c r="L441" s="9"/>
      <c r="M441" s="9"/>
      <c r="N441" s="9"/>
      <c r="O441" s="9"/>
      <c r="P441" s="9"/>
    </row>
    <row r="442" ht="30.0" customHeight="1">
      <c r="A442" s="4" t="s">
        <v>316</v>
      </c>
      <c r="B442" s="5" t="s">
        <v>317</v>
      </c>
      <c r="C442" s="11">
        <v>90009.62</v>
      </c>
      <c r="D442" s="10" t="str">
        <f>HYPERLINK("http://www.usrc.it/AppRendiConta/det_645_20170929.pdf","DETERMINA N. 645 DEL 29/09/2017")</f>
        <v>DETERMINA N. 645 DEL 29/09/2017</v>
      </c>
      <c r="E442" s="5" t="s">
        <v>683</v>
      </c>
      <c r="F442" s="5" t="s">
        <v>12</v>
      </c>
      <c r="G442" s="5" t="s">
        <v>24</v>
      </c>
      <c r="H442" s="9"/>
      <c r="I442" s="9"/>
      <c r="J442" s="9"/>
      <c r="K442" s="9"/>
      <c r="L442" s="9"/>
      <c r="M442" s="9"/>
      <c r="N442" s="9"/>
      <c r="O442" s="9"/>
      <c r="P442" s="9"/>
    </row>
    <row r="443" ht="30.0" customHeight="1">
      <c r="A443" s="4" t="s">
        <v>684</v>
      </c>
      <c r="B443" s="5" t="s">
        <v>685</v>
      </c>
      <c r="C443" s="11">
        <v>120421.51</v>
      </c>
      <c r="D443" s="10" t="str">
        <f>HYPERLINK("http://www.usrc.it/AppRendiConta/det_650_20171004.pdf","DETERMINA N. 650 DEL 04/10/2017")</f>
        <v>DETERMINA N. 650 DEL 04/10/2017</v>
      </c>
      <c r="E443" s="8" t="s">
        <v>686</v>
      </c>
      <c r="F443" s="8" t="s">
        <v>12</v>
      </c>
      <c r="G443" s="8" t="s">
        <v>13</v>
      </c>
      <c r="H443" s="9"/>
      <c r="I443" s="9"/>
      <c r="J443" s="9"/>
      <c r="K443" s="9"/>
      <c r="L443" s="9"/>
      <c r="M443" s="9"/>
      <c r="N443" s="9"/>
      <c r="O443" s="9"/>
      <c r="P443" s="9"/>
    </row>
    <row r="444" ht="30.0" customHeight="1">
      <c r="A444" s="4" t="s">
        <v>32</v>
      </c>
      <c r="B444" s="5" t="s">
        <v>33</v>
      </c>
      <c r="C444" s="11">
        <v>1838357.55</v>
      </c>
      <c r="D444" s="10" t="str">
        <f>HYPERLINK("http://www.usrc.it/AppRendiConta/det_652_20171005.pdf","DETERMINA N. 652 DEL 05/10/2017")</f>
        <v>DETERMINA N. 652 DEL 05/10/2017</v>
      </c>
      <c r="E444" s="8" t="s">
        <v>687</v>
      </c>
      <c r="F444" s="8" t="s">
        <v>12</v>
      </c>
      <c r="G444" s="8" t="s">
        <v>102</v>
      </c>
      <c r="H444" s="9"/>
      <c r="I444" s="9"/>
      <c r="J444" s="9"/>
      <c r="K444" s="9"/>
      <c r="L444" s="9"/>
      <c r="M444" s="9"/>
      <c r="N444" s="9"/>
      <c r="O444" s="9"/>
      <c r="P444" s="9"/>
    </row>
    <row r="445" ht="30.0" customHeight="1">
      <c r="A445" s="4" t="s">
        <v>688</v>
      </c>
      <c r="B445" s="5" t="s">
        <v>689</v>
      </c>
      <c r="C445" s="11">
        <v>26979.77</v>
      </c>
      <c r="D445" s="10" t="str">
        <f>HYPERLINK("http://www.usrc.it/AppRendiConta/det_656_20171005.pdf","DETERMINA N. 656 DEL 05/10/2017")</f>
        <v>DETERMINA N. 656 DEL 05/10/2017</v>
      </c>
      <c r="E445" s="8" t="s">
        <v>690</v>
      </c>
      <c r="F445" s="8" t="s">
        <v>12</v>
      </c>
      <c r="G445" s="8" t="s">
        <v>102</v>
      </c>
      <c r="H445" s="9"/>
      <c r="I445" s="9"/>
      <c r="J445" s="9"/>
      <c r="K445" s="9"/>
      <c r="L445" s="9"/>
      <c r="M445" s="9"/>
      <c r="N445" s="9"/>
      <c r="O445" s="9"/>
      <c r="P445" s="9"/>
    </row>
    <row r="446" ht="30.0" customHeight="1">
      <c r="A446" s="4" t="s">
        <v>691</v>
      </c>
      <c r="B446" s="5" t="s">
        <v>692</v>
      </c>
      <c r="C446" s="11">
        <v>45800.41</v>
      </c>
      <c r="D446" s="10" t="str">
        <f>HYPERLINK("http://www.usrc.it/AppRendiConta/det_658_20171010.pdf","DETERMINA N. 658 DEL 10/10/2017")</f>
        <v>DETERMINA N. 658 DEL 10/10/2017</v>
      </c>
      <c r="E446" s="8" t="s">
        <v>693</v>
      </c>
      <c r="F446" s="8" t="s">
        <v>12</v>
      </c>
      <c r="G446" s="8" t="s">
        <v>13</v>
      </c>
      <c r="H446" s="9"/>
      <c r="I446" s="9"/>
      <c r="J446" s="9"/>
      <c r="K446" s="9"/>
      <c r="L446" s="9"/>
      <c r="M446" s="9"/>
      <c r="N446" s="9"/>
      <c r="O446" s="9"/>
      <c r="P446" s="9"/>
    </row>
    <row r="447" ht="30.0" customHeight="1">
      <c r="A447" s="4" t="s">
        <v>39</v>
      </c>
      <c r="B447" s="5" t="s">
        <v>40</v>
      </c>
      <c r="C447" s="11">
        <v>4564.38</v>
      </c>
      <c r="D447" s="10" t="str">
        <f>HYPERLINK("http://www.usrc.it/AppRendiConta/det_660_20171012.pdf","DETERMINA N. 660 DEL 12/10/2017")</f>
        <v>DETERMINA N. 660 DEL 12/10/2017</v>
      </c>
      <c r="E447" s="8" t="s">
        <v>694</v>
      </c>
      <c r="F447" s="8" t="s">
        <v>12</v>
      </c>
      <c r="G447" s="8" t="s">
        <v>366</v>
      </c>
      <c r="H447" s="9"/>
      <c r="I447" s="9"/>
      <c r="J447" s="9"/>
      <c r="K447" s="9"/>
      <c r="L447" s="9"/>
      <c r="M447" s="9"/>
      <c r="N447" s="9"/>
      <c r="O447" s="9"/>
      <c r="P447" s="9"/>
    </row>
    <row r="448" ht="30.0" customHeight="1">
      <c r="A448" s="4" t="s">
        <v>539</v>
      </c>
      <c r="B448" s="5" t="s">
        <v>540</v>
      </c>
      <c r="C448" s="11">
        <v>28555.73</v>
      </c>
      <c r="D448" s="10" t="str">
        <f>HYPERLINK("http://www.usrc.it/AppRendiConta/det_661_20171012.pdf","DETERMINA N. 661 DEL 12/10/2017")</f>
        <v>DETERMINA N. 661 DEL 12/10/2017</v>
      </c>
      <c r="E448" s="8" t="s">
        <v>695</v>
      </c>
      <c r="F448" s="8" t="s">
        <v>12</v>
      </c>
      <c r="G448" s="8" t="s">
        <v>206</v>
      </c>
      <c r="H448" s="9"/>
      <c r="I448" s="9"/>
      <c r="J448" s="9"/>
      <c r="K448" s="9"/>
      <c r="L448" s="9"/>
      <c r="M448" s="9"/>
      <c r="N448" s="9"/>
      <c r="O448" s="9"/>
      <c r="P448" s="9"/>
    </row>
    <row r="449" ht="30.0" customHeight="1">
      <c r="A449" s="4" t="s">
        <v>193</v>
      </c>
      <c r="B449" s="5" t="s">
        <v>194</v>
      </c>
      <c r="C449" s="11">
        <v>13261.5</v>
      </c>
      <c r="D449" s="10" t="str">
        <f>HYPERLINK("http://www.usrc.it/AppRendiConta/det_662_20171012.pdf","DETERMINA N. 662 DEL 12/10/2017")</f>
        <v>DETERMINA N. 662 DEL 12/10/2017</v>
      </c>
      <c r="E449" s="8" t="s">
        <v>696</v>
      </c>
      <c r="F449" s="8" t="s">
        <v>12</v>
      </c>
      <c r="G449" s="8" t="s">
        <v>24</v>
      </c>
      <c r="H449" s="9"/>
      <c r="I449" s="9"/>
      <c r="J449" s="9"/>
      <c r="K449" s="9"/>
      <c r="L449" s="9"/>
      <c r="M449" s="9"/>
      <c r="N449" s="9"/>
      <c r="O449" s="9"/>
      <c r="P449" s="9"/>
    </row>
    <row r="450" ht="30.0" customHeight="1">
      <c r="A450" s="4" t="s">
        <v>697</v>
      </c>
      <c r="B450" s="5" t="s">
        <v>698</v>
      </c>
      <c r="C450" s="11">
        <v>41162.48</v>
      </c>
      <c r="D450" s="10" t="str">
        <f>HYPERLINK("http://www.usrc.it/AppRendiConta/det_663_20171012.pdf","DETERMINA N. 663 DEL 12/10/2017")</f>
        <v>DETERMINA N. 663 DEL 12/10/2017</v>
      </c>
      <c r="E450" s="8" t="s">
        <v>699</v>
      </c>
      <c r="F450" s="8" t="s">
        <v>12</v>
      </c>
      <c r="G450" s="8" t="s">
        <v>28</v>
      </c>
      <c r="H450" s="9"/>
      <c r="I450" s="9"/>
      <c r="J450" s="9"/>
      <c r="K450" s="9"/>
      <c r="L450" s="9"/>
      <c r="M450" s="9"/>
      <c r="N450" s="9"/>
      <c r="O450" s="9"/>
      <c r="P450" s="9"/>
    </row>
    <row r="451" ht="30.0" customHeight="1">
      <c r="A451" s="4" t="s">
        <v>172</v>
      </c>
      <c r="B451" s="5" t="s">
        <v>173</v>
      </c>
      <c r="C451" s="11">
        <v>20230.59</v>
      </c>
      <c r="D451" s="10" t="str">
        <f>HYPERLINK("http://www.usrc.it/AppRendiConta/det_673_20171013.pdf","DETERMINA N. 673 DEL 13/10/2017")</f>
        <v>DETERMINA N. 673 DEL 13/10/2017</v>
      </c>
      <c r="E451" s="8" t="s">
        <v>700</v>
      </c>
      <c r="F451" s="8" t="s">
        <v>12</v>
      </c>
      <c r="G451" s="8" t="s">
        <v>449</v>
      </c>
      <c r="H451" s="9"/>
      <c r="I451" s="9"/>
      <c r="J451" s="9"/>
      <c r="K451" s="9"/>
      <c r="L451" s="9"/>
      <c r="M451" s="9"/>
      <c r="N451" s="9"/>
      <c r="O451" s="9"/>
      <c r="P451" s="9"/>
    </row>
    <row r="452" ht="30.0" customHeight="1">
      <c r="A452" s="4" t="s">
        <v>69</v>
      </c>
      <c r="B452" s="5" t="s">
        <v>70</v>
      </c>
      <c r="C452" s="11">
        <v>8998.25</v>
      </c>
      <c r="D452" s="10" t="str">
        <f t="shared" ref="D452:D456" si="31">HYPERLINK("http://www.usrc.it/AppRendiConta/det_674_20171013.pdf","DETERMINA N. 674 DEL 13/10/2017")</f>
        <v>DETERMINA N. 674 DEL 13/10/2017</v>
      </c>
      <c r="E452" s="8" t="s">
        <v>546</v>
      </c>
      <c r="F452" s="8" t="s">
        <v>12</v>
      </c>
      <c r="G452" s="8" t="s">
        <v>86</v>
      </c>
      <c r="H452" s="9"/>
      <c r="I452" s="9"/>
      <c r="J452" s="9"/>
      <c r="K452" s="9"/>
      <c r="L452" s="9"/>
      <c r="M452" s="9"/>
      <c r="N452" s="9"/>
      <c r="O452" s="9"/>
      <c r="P452" s="9"/>
    </row>
    <row r="453" ht="30.0" customHeight="1">
      <c r="A453" s="4" t="s">
        <v>172</v>
      </c>
      <c r="B453" s="5" t="s">
        <v>173</v>
      </c>
      <c r="C453" s="11">
        <v>9000.0</v>
      </c>
      <c r="D453" s="10" t="str">
        <f t="shared" si="31"/>
        <v>DETERMINA N. 674 DEL 13/10/2017</v>
      </c>
      <c r="E453" s="8" t="s">
        <v>546</v>
      </c>
      <c r="F453" s="8" t="s">
        <v>12</v>
      </c>
      <c r="G453" s="8" t="s">
        <v>86</v>
      </c>
      <c r="H453" s="9"/>
      <c r="I453" s="9"/>
      <c r="J453" s="9"/>
      <c r="K453" s="9"/>
      <c r="L453" s="9"/>
      <c r="M453" s="9"/>
      <c r="N453" s="9"/>
      <c r="O453" s="9"/>
      <c r="P453" s="9"/>
    </row>
    <row r="454" ht="30.0" customHeight="1">
      <c r="A454" s="4" t="s">
        <v>302</v>
      </c>
      <c r="B454" s="5" t="s">
        <v>303</v>
      </c>
      <c r="C454" s="11">
        <v>9000.0</v>
      </c>
      <c r="D454" s="10" t="str">
        <f t="shared" si="31"/>
        <v>DETERMINA N. 674 DEL 13/10/2017</v>
      </c>
      <c r="E454" s="8" t="s">
        <v>546</v>
      </c>
      <c r="F454" s="8" t="s">
        <v>12</v>
      </c>
      <c r="G454" s="8" t="s">
        <v>86</v>
      </c>
      <c r="H454" s="9"/>
      <c r="I454" s="9"/>
      <c r="J454" s="9"/>
      <c r="K454" s="9"/>
      <c r="L454" s="9"/>
      <c r="M454" s="9"/>
      <c r="N454" s="9"/>
      <c r="O454" s="9"/>
      <c r="P454" s="9"/>
    </row>
    <row r="455" ht="30.0" customHeight="1">
      <c r="A455" s="4" t="s">
        <v>198</v>
      </c>
      <c r="B455" s="5" t="s">
        <v>199</v>
      </c>
      <c r="C455" s="11">
        <v>8096.53</v>
      </c>
      <c r="D455" s="10" t="str">
        <f t="shared" si="31"/>
        <v>DETERMINA N. 674 DEL 13/10/2017</v>
      </c>
      <c r="E455" s="8" t="s">
        <v>546</v>
      </c>
      <c r="F455" s="8" t="s">
        <v>12</v>
      </c>
      <c r="G455" s="8" t="s">
        <v>86</v>
      </c>
      <c r="H455" s="9"/>
      <c r="I455" s="9"/>
      <c r="J455" s="9"/>
      <c r="K455" s="9"/>
      <c r="L455" s="9"/>
      <c r="M455" s="9"/>
      <c r="N455" s="9"/>
      <c r="O455" s="9"/>
      <c r="P455" s="9"/>
    </row>
    <row r="456" ht="30.0" customHeight="1">
      <c r="A456" s="4" t="s">
        <v>42</v>
      </c>
      <c r="B456" s="5" t="s">
        <v>43</v>
      </c>
      <c r="C456" s="11">
        <v>9000.0</v>
      </c>
      <c r="D456" s="10" t="str">
        <f t="shared" si="31"/>
        <v>DETERMINA N. 674 DEL 13/10/2017</v>
      </c>
      <c r="E456" s="8" t="s">
        <v>546</v>
      </c>
      <c r="F456" s="8" t="s">
        <v>12</v>
      </c>
      <c r="G456" s="8" t="s">
        <v>86</v>
      </c>
      <c r="H456" s="9"/>
      <c r="I456" s="9"/>
      <c r="J456" s="9"/>
      <c r="K456" s="9"/>
      <c r="L456" s="9"/>
      <c r="M456" s="9"/>
      <c r="N456" s="9"/>
      <c r="O456" s="9"/>
      <c r="P456" s="9"/>
    </row>
    <row r="457" ht="30.0" customHeight="1">
      <c r="A457" s="4" t="s">
        <v>103</v>
      </c>
      <c r="B457" s="5" t="s">
        <v>104</v>
      </c>
      <c r="C457" s="11">
        <v>3600.0</v>
      </c>
      <c r="D457" s="10" t="str">
        <f t="shared" ref="D457:D472" si="32">HYPERLINK("http://www.usrc.it/AppRendiConta/det_675_20171013.pdf","DETERMINA N. 675 DEL 13/10/2017")</f>
        <v>DETERMINA N. 675 DEL 13/10/2017</v>
      </c>
      <c r="E457" s="5" t="s">
        <v>701</v>
      </c>
      <c r="F457" s="5" t="s">
        <v>12</v>
      </c>
      <c r="G457" s="5" t="s">
        <v>551</v>
      </c>
      <c r="H457" s="9"/>
      <c r="I457" s="9"/>
      <c r="J457" s="9"/>
      <c r="K457" s="9"/>
      <c r="L457" s="9"/>
      <c r="M457" s="9"/>
      <c r="N457" s="9"/>
      <c r="O457" s="9"/>
      <c r="P457" s="9"/>
    </row>
    <row r="458" ht="30.0" customHeight="1">
      <c r="A458" s="4" t="s">
        <v>76</v>
      </c>
      <c r="B458" s="5" t="s">
        <v>77</v>
      </c>
      <c r="C458" s="11">
        <v>7200.0</v>
      </c>
      <c r="D458" s="10" t="str">
        <f t="shared" si="32"/>
        <v>DETERMINA N. 675 DEL 13/10/2017</v>
      </c>
      <c r="E458" s="5" t="s">
        <v>454</v>
      </c>
      <c r="F458" s="5" t="s">
        <v>12</v>
      </c>
      <c r="G458" s="5" t="s">
        <v>551</v>
      </c>
      <c r="H458" s="9"/>
      <c r="I458" s="9"/>
      <c r="J458" s="9"/>
      <c r="K458" s="9"/>
      <c r="L458" s="9"/>
      <c r="M458" s="9"/>
      <c r="N458" s="9"/>
      <c r="O458" s="9"/>
      <c r="P458" s="9"/>
    </row>
    <row r="459" ht="30.0" customHeight="1">
      <c r="A459" s="4" t="s">
        <v>90</v>
      </c>
      <c r="B459" s="5" t="s">
        <v>91</v>
      </c>
      <c r="C459" s="11">
        <v>9000.0</v>
      </c>
      <c r="D459" s="10" t="str">
        <f t="shared" si="32"/>
        <v>DETERMINA N. 675 DEL 13/10/2017</v>
      </c>
      <c r="E459" s="5" t="s">
        <v>702</v>
      </c>
      <c r="F459" s="5" t="s">
        <v>12</v>
      </c>
      <c r="G459" s="5" t="s">
        <v>551</v>
      </c>
      <c r="H459" s="9"/>
      <c r="I459" s="9"/>
      <c r="J459" s="9"/>
      <c r="K459" s="9"/>
      <c r="L459" s="9"/>
      <c r="M459" s="9"/>
      <c r="N459" s="9"/>
      <c r="O459" s="9"/>
      <c r="P459" s="9"/>
    </row>
    <row r="460" ht="30.0" customHeight="1">
      <c r="A460" s="4" t="s">
        <v>159</v>
      </c>
      <c r="B460" s="5" t="s">
        <v>160</v>
      </c>
      <c r="C460" s="11">
        <v>9000.0</v>
      </c>
      <c r="D460" s="10" t="str">
        <f t="shared" si="32"/>
        <v>DETERMINA N. 675 DEL 13/10/2017</v>
      </c>
      <c r="E460" s="5" t="s">
        <v>703</v>
      </c>
      <c r="F460" s="5" t="s">
        <v>12</v>
      </c>
      <c r="G460" s="5" t="s">
        <v>551</v>
      </c>
      <c r="H460" s="9"/>
      <c r="I460" s="9"/>
      <c r="J460" s="9"/>
      <c r="K460" s="9"/>
      <c r="L460" s="9"/>
      <c r="M460" s="9"/>
      <c r="N460" s="9"/>
      <c r="O460" s="9"/>
      <c r="P460" s="9"/>
    </row>
    <row r="461" ht="30.0" customHeight="1">
      <c r="A461" s="4" t="s">
        <v>323</v>
      </c>
      <c r="B461" s="5" t="s">
        <v>324</v>
      </c>
      <c r="C461" s="11">
        <v>3600.0</v>
      </c>
      <c r="D461" s="10" t="str">
        <f t="shared" si="32"/>
        <v>DETERMINA N. 675 DEL 13/10/2017</v>
      </c>
      <c r="E461" s="8" t="s">
        <v>704</v>
      </c>
      <c r="F461" s="8" t="s">
        <v>12</v>
      </c>
      <c r="G461" s="8" t="s">
        <v>551</v>
      </c>
      <c r="H461" s="9"/>
      <c r="I461" s="9"/>
      <c r="J461" s="9"/>
      <c r="K461" s="9"/>
      <c r="L461" s="9"/>
      <c r="M461" s="9"/>
      <c r="N461" s="9"/>
      <c r="O461" s="9"/>
      <c r="P461" s="9"/>
    </row>
    <row r="462" ht="30.0" customHeight="1">
      <c r="A462" s="4" t="s">
        <v>29</v>
      </c>
      <c r="B462" s="5" t="s">
        <v>30</v>
      </c>
      <c r="C462" s="11">
        <v>10800.0</v>
      </c>
      <c r="D462" s="10" t="str">
        <f t="shared" si="32"/>
        <v>DETERMINA N. 675 DEL 13/10/2017</v>
      </c>
      <c r="E462" s="8" t="s">
        <v>555</v>
      </c>
      <c r="F462" s="8" t="s">
        <v>12</v>
      </c>
      <c r="G462" s="8" t="s">
        <v>551</v>
      </c>
      <c r="H462" s="9"/>
      <c r="I462" s="9"/>
      <c r="J462" s="9"/>
      <c r="K462" s="9"/>
      <c r="L462" s="9"/>
      <c r="M462" s="9"/>
      <c r="N462" s="9"/>
      <c r="O462" s="9"/>
      <c r="P462" s="9"/>
    </row>
    <row r="463" ht="30.0" customHeight="1">
      <c r="A463" s="4" t="s">
        <v>117</v>
      </c>
      <c r="B463" s="5" t="s">
        <v>118</v>
      </c>
      <c r="C463" s="11">
        <v>5400.0</v>
      </c>
      <c r="D463" s="10" t="str">
        <f t="shared" si="32"/>
        <v>DETERMINA N. 675 DEL 13/10/2017</v>
      </c>
      <c r="E463" s="8" t="s">
        <v>705</v>
      </c>
      <c r="F463" s="8" t="s">
        <v>12</v>
      </c>
      <c r="G463" s="8" t="s">
        <v>551</v>
      </c>
      <c r="H463" s="9"/>
      <c r="I463" s="9"/>
      <c r="J463" s="9"/>
      <c r="K463" s="9"/>
      <c r="L463" s="9"/>
      <c r="M463" s="9"/>
      <c r="N463" s="9"/>
      <c r="O463" s="9"/>
      <c r="P463" s="9"/>
    </row>
    <row r="464" ht="30.0" customHeight="1">
      <c r="A464" s="4" t="s">
        <v>120</v>
      </c>
      <c r="B464" s="5" t="s">
        <v>121</v>
      </c>
      <c r="C464" s="11">
        <v>10800.0</v>
      </c>
      <c r="D464" s="10" t="str">
        <f t="shared" si="32"/>
        <v>DETERMINA N. 675 DEL 13/10/2017</v>
      </c>
      <c r="E464" s="8" t="s">
        <v>555</v>
      </c>
      <c r="F464" s="8" t="s">
        <v>12</v>
      </c>
      <c r="G464" s="8" t="s">
        <v>551</v>
      </c>
      <c r="H464" s="9"/>
      <c r="I464" s="9"/>
      <c r="J464" s="9"/>
      <c r="K464" s="9"/>
      <c r="L464" s="9"/>
      <c r="M464" s="9"/>
      <c r="N464" s="9"/>
      <c r="O464" s="9"/>
      <c r="P464" s="9"/>
    </row>
    <row r="465" ht="30.0" customHeight="1">
      <c r="A465" s="4" t="s">
        <v>302</v>
      </c>
      <c r="B465" s="5" t="s">
        <v>303</v>
      </c>
      <c r="C465" s="11">
        <v>14400.0</v>
      </c>
      <c r="D465" s="10" t="str">
        <f t="shared" si="32"/>
        <v>DETERMINA N. 675 DEL 13/10/2017</v>
      </c>
      <c r="E465" s="8" t="s">
        <v>706</v>
      </c>
      <c r="F465" s="8" t="s">
        <v>12</v>
      </c>
      <c r="G465" s="8" t="s">
        <v>551</v>
      </c>
      <c r="H465" s="9"/>
      <c r="I465" s="9"/>
      <c r="J465" s="9"/>
      <c r="K465" s="9"/>
      <c r="L465" s="9"/>
      <c r="M465" s="9"/>
      <c r="N465" s="9"/>
      <c r="O465" s="9"/>
      <c r="P465" s="9"/>
    </row>
    <row r="466" ht="30.0" customHeight="1">
      <c r="A466" s="4" t="s">
        <v>93</v>
      </c>
      <c r="B466" s="13" t="s">
        <v>94</v>
      </c>
      <c r="C466" s="11">
        <v>14400.0</v>
      </c>
      <c r="D466" s="10" t="str">
        <f t="shared" si="32"/>
        <v>DETERMINA N. 675 DEL 13/10/2017</v>
      </c>
      <c r="E466" s="8" t="s">
        <v>707</v>
      </c>
      <c r="F466" s="8" t="s">
        <v>12</v>
      </c>
      <c r="G466" s="8" t="s">
        <v>551</v>
      </c>
      <c r="H466" s="9"/>
      <c r="I466" s="9"/>
      <c r="J466" s="9"/>
      <c r="K466" s="9"/>
      <c r="L466" s="9"/>
      <c r="M466" s="9"/>
      <c r="N466" s="9"/>
      <c r="O466" s="9"/>
      <c r="P466" s="9"/>
    </row>
    <row r="467" ht="30.0" customHeight="1">
      <c r="A467" s="4" t="s">
        <v>32</v>
      </c>
      <c r="B467" s="13" t="s">
        <v>33</v>
      </c>
      <c r="C467" s="11">
        <v>10800.0</v>
      </c>
      <c r="D467" s="10" t="str">
        <f t="shared" si="32"/>
        <v>DETERMINA N. 675 DEL 13/10/2017</v>
      </c>
      <c r="E467" s="8" t="s">
        <v>555</v>
      </c>
      <c r="F467" s="8" t="s">
        <v>12</v>
      </c>
      <c r="G467" s="8" t="s">
        <v>551</v>
      </c>
      <c r="H467" s="9"/>
      <c r="I467" s="9"/>
      <c r="J467" s="9"/>
      <c r="K467" s="9"/>
      <c r="L467" s="9"/>
      <c r="M467" s="9"/>
      <c r="N467" s="9"/>
      <c r="O467" s="9"/>
      <c r="P467" s="9"/>
    </row>
    <row r="468" ht="30.0" customHeight="1">
      <c r="A468" s="4" t="s">
        <v>25</v>
      </c>
      <c r="B468" s="5" t="s">
        <v>26</v>
      </c>
      <c r="C468" s="11">
        <v>10799.94</v>
      </c>
      <c r="D468" s="10" t="str">
        <f t="shared" si="32"/>
        <v>DETERMINA N. 675 DEL 13/10/2017</v>
      </c>
      <c r="E468" s="8" t="s">
        <v>555</v>
      </c>
      <c r="F468" s="8" t="s">
        <v>12</v>
      </c>
      <c r="G468" s="8" t="s">
        <v>551</v>
      </c>
      <c r="H468" s="9"/>
      <c r="I468" s="9"/>
      <c r="J468" s="9"/>
      <c r="K468" s="9"/>
      <c r="L468" s="9"/>
      <c r="M468" s="9"/>
      <c r="N468" s="9"/>
      <c r="O468" s="9"/>
      <c r="P468" s="9"/>
    </row>
    <row r="469" ht="30.0" customHeight="1">
      <c r="A469" s="4" t="s">
        <v>539</v>
      </c>
      <c r="B469" s="5" t="s">
        <v>540</v>
      </c>
      <c r="C469" s="11">
        <v>12600.0</v>
      </c>
      <c r="D469" s="10" t="str">
        <f t="shared" si="32"/>
        <v>DETERMINA N. 675 DEL 13/10/2017</v>
      </c>
      <c r="E469" s="8" t="s">
        <v>708</v>
      </c>
      <c r="F469" s="8" t="s">
        <v>12</v>
      </c>
      <c r="G469" s="8" t="s">
        <v>551</v>
      </c>
      <c r="H469" s="9"/>
      <c r="I469" s="9"/>
      <c r="J469" s="9"/>
      <c r="K469" s="9"/>
      <c r="L469" s="9"/>
      <c r="M469" s="9"/>
      <c r="N469" s="9"/>
      <c r="O469" s="9"/>
      <c r="P469" s="9"/>
    </row>
    <row r="470" ht="30.0" customHeight="1">
      <c r="A470" s="4" t="s">
        <v>42</v>
      </c>
      <c r="B470" s="5" t="s">
        <v>43</v>
      </c>
      <c r="C470" s="11">
        <v>14400.0</v>
      </c>
      <c r="D470" s="10" t="str">
        <f t="shared" si="32"/>
        <v>DETERMINA N. 675 DEL 13/10/2017</v>
      </c>
      <c r="E470" s="8" t="s">
        <v>706</v>
      </c>
      <c r="F470" s="8" t="s">
        <v>12</v>
      </c>
      <c r="G470" s="8" t="s">
        <v>551</v>
      </c>
      <c r="H470" s="9"/>
      <c r="I470" s="9"/>
      <c r="J470" s="9"/>
      <c r="K470" s="9"/>
      <c r="L470" s="9"/>
      <c r="M470" s="9"/>
      <c r="N470" s="9"/>
      <c r="O470" s="9"/>
      <c r="P470" s="9"/>
    </row>
    <row r="471" ht="30.0" customHeight="1">
      <c r="A471" s="4" t="s">
        <v>97</v>
      </c>
      <c r="B471" s="5" t="s">
        <v>98</v>
      </c>
      <c r="C471" s="11">
        <v>10800.0</v>
      </c>
      <c r="D471" s="10" t="str">
        <f t="shared" si="32"/>
        <v>DETERMINA N. 675 DEL 13/10/2017</v>
      </c>
      <c r="E471" s="8" t="s">
        <v>709</v>
      </c>
      <c r="F471" s="5" t="s">
        <v>12</v>
      </c>
      <c r="G471" s="5" t="s">
        <v>551</v>
      </c>
      <c r="H471" s="9"/>
      <c r="I471" s="9"/>
      <c r="J471" s="9"/>
      <c r="K471" s="9"/>
      <c r="L471" s="9"/>
      <c r="M471" s="9"/>
      <c r="N471" s="9"/>
      <c r="O471" s="9"/>
      <c r="P471" s="9"/>
    </row>
    <row r="472" ht="30.0" customHeight="1">
      <c r="A472" s="4" t="s">
        <v>251</v>
      </c>
      <c r="B472" s="5" t="s">
        <v>252</v>
      </c>
      <c r="C472" s="11">
        <v>5397.0</v>
      </c>
      <c r="D472" s="10" t="str">
        <f t="shared" si="32"/>
        <v>DETERMINA N. 675 DEL 13/10/2017</v>
      </c>
      <c r="E472" s="8" t="s">
        <v>710</v>
      </c>
      <c r="F472" s="5" t="s">
        <v>12</v>
      </c>
      <c r="G472" s="5" t="s">
        <v>551</v>
      </c>
      <c r="H472" s="9"/>
      <c r="I472" s="9"/>
      <c r="J472" s="9"/>
      <c r="K472" s="9"/>
      <c r="L472" s="9"/>
      <c r="M472" s="9"/>
      <c r="N472" s="9"/>
      <c r="O472" s="9"/>
      <c r="P472" s="9"/>
    </row>
    <row r="473" ht="30.0" customHeight="1">
      <c r="A473" s="4" t="s">
        <v>193</v>
      </c>
      <c r="B473" s="5" t="s">
        <v>194</v>
      </c>
      <c r="C473" s="11">
        <v>164380.08</v>
      </c>
      <c r="D473" s="10" t="str">
        <f>HYPERLINK("http://www.usrc.it/AppRendiConta/det_679_20171016.pdf","DETERMINA N. 679 DEL 16/10/2017")</f>
        <v>DETERMINA N. 679 DEL 16/10/2017</v>
      </c>
      <c r="E473" s="5" t="s">
        <v>711</v>
      </c>
      <c r="F473" s="5" t="s">
        <v>12</v>
      </c>
      <c r="G473" s="5" t="s">
        <v>24</v>
      </c>
      <c r="H473" s="9"/>
      <c r="I473" s="9"/>
      <c r="J473" s="9"/>
      <c r="K473" s="9"/>
      <c r="L473" s="9"/>
      <c r="M473" s="9"/>
      <c r="N473" s="9"/>
      <c r="O473" s="9"/>
      <c r="P473" s="9"/>
    </row>
    <row r="474" ht="30.0" customHeight="1">
      <c r="A474" s="4" t="s">
        <v>103</v>
      </c>
      <c r="B474" s="5" t="s">
        <v>104</v>
      </c>
      <c r="C474" s="11">
        <v>7806.45</v>
      </c>
      <c r="D474" s="10" t="str">
        <f t="shared" ref="D474:D484" si="33">HYPERLINK("http://www.usrc.it/AppRendiConta/det_683_20171020.pdf","DETERMINA N. 683 DEL 20/10/2017")</f>
        <v>DETERMINA N. 683 DEL 20/10/2017</v>
      </c>
      <c r="E474" s="5" t="s">
        <v>712</v>
      </c>
      <c r="F474" s="5" t="s">
        <v>12</v>
      </c>
      <c r="G474" s="5" t="s">
        <v>228</v>
      </c>
      <c r="H474" s="9"/>
      <c r="I474" s="9"/>
      <c r="J474" s="9"/>
      <c r="K474" s="9"/>
      <c r="L474" s="9"/>
      <c r="M474" s="9"/>
      <c r="N474" s="9"/>
      <c r="O474" s="9"/>
      <c r="P474" s="9"/>
    </row>
    <row r="475" ht="30.0" customHeight="1">
      <c r="A475" s="4" t="s">
        <v>382</v>
      </c>
      <c r="B475" s="5" t="s">
        <v>383</v>
      </c>
      <c r="C475" s="11">
        <v>12500.0</v>
      </c>
      <c r="D475" s="10" t="str">
        <f t="shared" si="33"/>
        <v>DETERMINA N. 683 DEL 20/10/2017</v>
      </c>
      <c r="E475" s="5" t="s">
        <v>713</v>
      </c>
      <c r="F475" s="5" t="s">
        <v>12</v>
      </c>
      <c r="G475" s="5" t="s">
        <v>228</v>
      </c>
      <c r="H475" s="9"/>
      <c r="I475" s="9"/>
      <c r="J475" s="9"/>
      <c r="K475" s="9"/>
      <c r="L475" s="9"/>
      <c r="M475" s="9"/>
      <c r="N475" s="9"/>
      <c r="O475" s="9"/>
      <c r="P475" s="9"/>
    </row>
    <row r="476" ht="30.0" customHeight="1">
      <c r="A476" s="4" t="s">
        <v>108</v>
      </c>
      <c r="B476" s="5" t="s">
        <v>109</v>
      </c>
      <c r="C476" s="11">
        <v>13700.0</v>
      </c>
      <c r="D476" s="10" t="str">
        <f t="shared" si="33"/>
        <v>DETERMINA N. 683 DEL 20/10/2017</v>
      </c>
      <c r="E476" s="5" t="s">
        <v>714</v>
      </c>
      <c r="F476" s="5" t="s">
        <v>12</v>
      </c>
      <c r="G476" s="5" t="s">
        <v>228</v>
      </c>
      <c r="H476" s="9"/>
      <c r="I476" s="9"/>
      <c r="J476" s="9"/>
      <c r="K476" s="9"/>
      <c r="L476" s="9"/>
      <c r="M476" s="9"/>
      <c r="N476" s="9"/>
      <c r="O476" s="9"/>
      <c r="P476" s="9"/>
    </row>
    <row r="477" ht="30.0" customHeight="1">
      <c r="A477" s="4" t="s">
        <v>159</v>
      </c>
      <c r="B477" s="5" t="s">
        <v>160</v>
      </c>
      <c r="C477" s="11">
        <v>10200.0</v>
      </c>
      <c r="D477" s="10" t="str">
        <f t="shared" si="33"/>
        <v>DETERMINA N. 683 DEL 20/10/2017</v>
      </c>
      <c r="E477" s="5" t="s">
        <v>715</v>
      </c>
      <c r="F477" s="5" t="s">
        <v>12</v>
      </c>
      <c r="G477" s="5" t="s">
        <v>228</v>
      </c>
      <c r="H477" s="9"/>
      <c r="I477" s="9"/>
      <c r="J477" s="9"/>
      <c r="K477" s="9"/>
      <c r="L477" s="9"/>
      <c r="M477" s="9"/>
      <c r="N477" s="9"/>
      <c r="O477" s="9"/>
      <c r="P477" s="9"/>
    </row>
    <row r="478" ht="30.0" customHeight="1">
      <c r="A478" s="4" t="s">
        <v>323</v>
      </c>
      <c r="B478" s="5" t="s">
        <v>324</v>
      </c>
      <c r="C478" s="11">
        <v>1600.0</v>
      </c>
      <c r="D478" s="10" t="str">
        <f t="shared" si="33"/>
        <v>DETERMINA N. 683 DEL 20/10/2017</v>
      </c>
      <c r="E478" s="5" t="s">
        <v>716</v>
      </c>
      <c r="F478" s="5" t="s">
        <v>12</v>
      </c>
      <c r="G478" s="5" t="s">
        <v>228</v>
      </c>
      <c r="H478" s="9"/>
      <c r="I478" s="9"/>
      <c r="J478" s="9"/>
      <c r="K478" s="9"/>
      <c r="L478" s="9"/>
      <c r="M478" s="9"/>
      <c r="N478" s="9"/>
      <c r="O478" s="9"/>
      <c r="P478" s="9"/>
    </row>
    <row r="479" ht="30.0" customHeight="1">
      <c r="A479" s="4" t="s">
        <v>190</v>
      </c>
      <c r="B479" s="5" t="s">
        <v>191</v>
      </c>
      <c r="C479" s="11">
        <v>13000.0</v>
      </c>
      <c r="D479" s="10" t="str">
        <f t="shared" si="33"/>
        <v>DETERMINA N. 683 DEL 20/10/2017</v>
      </c>
      <c r="E479" s="5" t="s">
        <v>717</v>
      </c>
      <c r="F479" s="5" t="s">
        <v>12</v>
      </c>
      <c r="G479" s="5" t="s">
        <v>228</v>
      </c>
      <c r="H479" s="9"/>
      <c r="I479" s="9"/>
      <c r="J479" s="9"/>
      <c r="K479" s="9"/>
      <c r="L479" s="9"/>
      <c r="M479" s="9"/>
      <c r="N479" s="9"/>
      <c r="O479" s="9"/>
      <c r="P479" s="9"/>
    </row>
    <row r="480" ht="30.0" customHeight="1">
      <c r="A480" s="4" t="s">
        <v>193</v>
      </c>
      <c r="B480" s="5" t="s">
        <v>194</v>
      </c>
      <c r="C480" s="11">
        <v>63293.55</v>
      </c>
      <c r="D480" s="10" t="str">
        <f t="shared" si="33"/>
        <v>DETERMINA N. 683 DEL 20/10/2017</v>
      </c>
      <c r="E480" s="5" t="s">
        <v>718</v>
      </c>
      <c r="F480" s="5" t="s">
        <v>12</v>
      </c>
      <c r="G480" s="5" t="s">
        <v>228</v>
      </c>
      <c r="H480" s="9"/>
      <c r="I480" s="9"/>
      <c r="J480" s="9"/>
      <c r="K480" s="9"/>
      <c r="L480" s="9"/>
      <c r="M480" s="9"/>
      <c r="N480" s="9"/>
      <c r="O480" s="9"/>
      <c r="P480" s="9"/>
    </row>
    <row r="481" ht="30.0" customHeight="1">
      <c r="A481" s="4" t="s">
        <v>117</v>
      </c>
      <c r="B481" s="5" t="s">
        <v>118</v>
      </c>
      <c r="C481" s="11">
        <v>961.29</v>
      </c>
      <c r="D481" s="10" t="str">
        <f t="shared" si="33"/>
        <v>DETERMINA N. 683 DEL 20/10/2017</v>
      </c>
      <c r="E481" s="5" t="s">
        <v>620</v>
      </c>
      <c r="F481" s="8" t="s">
        <v>12</v>
      </c>
      <c r="G481" s="8" t="s">
        <v>228</v>
      </c>
      <c r="H481" s="9"/>
      <c r="I481" s="9"/>
      <c r="J481" s="9"/>
      <c r="K481" s="9"/>
      <c r="L481" s="9"/>
      <c r="M481" s="9"/>
      <c r="N481" s="9"/>
      <c r="O481" s="9"/>
      <c r="P481" s="9"/>
    </row>
    <row r="482" ht="30.0" customHeight="1">
      <c r="A482" s="4" t="s">
        <v>120</v>
      </c>
      <c r="B482" s="5" t="s">
        <v>121</v>
      </c>
      <c r="C482" s="11">
        <v>54161.29</v>
      </c>
      <c r="D482" s="10" t="str">
        <f t="shared" si="33"/>
        <v>DETERMINA N. 683 DEL 20/10/2017</v>
      </c>
      <c r="E482" s="5" t="s">
        <v>719</v>
      </c>
      <c r="F482" s="8" t="s">
        <v>12</v>
      </c>
      <c r="G482" s="8" t="s">
        <v>228</v>
      </c>
      <c r="H482" s="9"/>
      <c r="I482" s="9"/>
      <c r="J482" s="9"/>
      <c r="K482" s="9"/>
      <c r="L482" s="9"/>
      <c r="M482" s="9"/>
      <c r="N482" s="9"/>
      <c r="O482" s="9"/>
      <c r="P482" s="9"/>
    </row>
    <row r="483" ht="30.0" customHeight="1">
      <c r="A483" s="4" t="s">
        <v>32</v>
      </c>
      <c r="B483" s="5" t="s">
        <v>33</v>
      </c>
      <c r="C483" s="11">
        <v>2800.0</v>
      </c>
      <c r="D483" s="10" t="str">
        <f t="shared" si="33"/>
        <v>DETERMINA N. 683 DEL 20/10/2017</v>
      </c>
      <c r="E483" s="5" t="s">
        <v>720</v>
      </c>
      <c r="F483" s="8" t="s">
        <v>12</v>
      </c>
      <c r="G483" s="8" t="s">
        <v>228</v>
      </c>
      <c r="H483" s="9"/>
      <c r="I483" s="9"/>
      <c r="J483" s="9"/>
      <c r="K483" s="9"/>
      <c r="L483" s="9"/>
      <c r="M483" s="9"/>
      <c r="N483" s="9"/>
      <c r="O483" s="9"/>
      <c r="P483" s="9"/>
    </row>
    <row r="484" ht="30.0" customHeight="1">
      <c r="A484" s="4" t="s">
        <v>276</v>
      </c>
      <c r="B484" s="5" t="s">
        <v>277</v>
      </c>
      <c r="C484" s="11">
        <v>12600.0</v>
      </c>
      <c r="D484" s="10" t="str">
        <f t="shared" si="33"/>
        <v>DETERMINA N. 683 DEL 20/10/2017</v>
      </c>
      <c r="E484" s="5" t="s">
        <v>721</v>
      </c>
      <c r="F484" s="8" t="s">
        <v>12</v>
      </c>
      <c r="G484" s="8" t="s">
        <v>228</v>
      </c>
      <c r="H484" s="9"/>
      <c r="I484" s="9"/>
      <c r="J484" s="9"/>
      <c r="K484" s="9"/>
      <c r="L484" s="9"/>
      <c r="M484" s="9"/>
      <c r="N484" s="9"/>
      <c r="O484" s="9"/>
      <c r="P484" s="9"/>
    </row>
    <row r="485" ht="30.0" customHeight="1">
      <c r="A485" s="4" t="s">
        <v>628</v>
      </c>
      <c r="B485" s="5" t="s">
        <v>629</v>
      </c>
      <c r="C485" s="11">
        <v>6600.0</v>
      </c>
      <c r="D485" s="10" t="str">
        <f t="shared" ref="D485:D488" si="34">HYPERLINK("http://www.usrc.it/AppRendiConta/det_684_20171020.pdf","DETERMINA N. 684 DEL 20/10/2017")</f>
        <v>DETERMINA N. 684 DEL 20/10/2017</v>
      </c>
      <c r="E485" s="8" t="s">
        <v>722</v>
      </c>
      <c r="F485" s="8" t="s">
        <v>12</v>
      </c>
      <c r="G485" s="8" t="s">
        <v>228</v>
      </c>
      <c r="H485" s="9"/>
      <c r="I485" s="9"/>
      <c r="J485" s="9"/>
      <c r="K485" s="9"/>
      <c r="L485" s="9"/>
      <c r="M485" s="9"/>
      <c r="N485" s="9"/>
      <c r="O485" s="9"/>
      <c r="P485" s="9"/>
    </row>
    <row r="486" ht="30.0" customHeight="1">
      <c r="A486" s="4" t="s">
        <v>128</v>
      </c>
      <c r="B486" s="5" t="s">
        <v>129</v>
      </c>
      <c r="C486" s="11">
        <v>12600.0</v>
      </c>
      <c r="D486" s="10" t="str">
        <f t="shared" si="34"/>
        <v>DETERMINA N. 684 DEL 20/10/2017</v>
      </c>
      <c r="E486" s="8" t="s">
        <v>723</v>
      </c>
      <c r="F486" s="8" t="s">
        <v>12</v>
      </c>
      <c r="G486" s="8" t="s">
        <v>228</v>
      </c>
      <c r="H486" s="9"/>
      <c r="I486" s="9"/>
      <c r="J486" s="9"/>
      <c r="K486" s="9"/>
      <c r="L486" s="9"/>
      <c r="M486" s="9"/>
      <c r="N486" s="9"/>
      <c r="O486" s="9"/>
      <c r="P486" s="9"/>
    </row>
    <row r="487" ht="30.0" customHeight="1">
      <c r="A487" s="4" t="s">
        <v>131</v>
      </c>
      <c r="B487" s="5" t="s">
        <v>132</v>
      </c>
      <c r="C487" s="11">
        <v>10000.0</v>
      </c>
      <c r="D487" s="10" t="str">
        <f t="shared" si="34"/>
        <v>DETERMINA N. 684 DEL 20/10/2017</v>
      </c>
      <c r="E487" s="8" t="s">
        <v>724</v>
      </c>
      <c r="F487" s="8" t="s">
        <v>12</v>
      </c>
      <c r="G487" s="8" t="s">
        <v>228</v>
      </c>
      <c r="H487" s="9"/>
      <c r="I487" s="9"/>
      <c r="J487" s="9"/>
      <c r="K487" s="9"/>
      <c r="L487" s="9"/>
      <c r="M487" s="9"/>
      <c r="N487" s="9"/>
      <c r="O487" s="9"/>
      <c r="P487" s="9"/>
    </row>
    <row r="488" ht="30.0" customHeight="1">
      <c r="A488" s="4" t="s">
        <v>55</v>
      </c>
      <c r="B488" s="5" t="s">
        <v>56</v>
      </c>
      <c r="C488" s="11">
        <v>78120.19</v>
      </c>
      <c r="D488" s="10" t="str">
        <f t="shared" si="34"/>
        <v>DETERMINA N. 684 DEL 20/10/2017</v>
      </c>
      <c r="E488" s="8" t="s">
        <v>725</v>
      </c>
      <c r="F488" s="8" t="s">
        <v>12</v>
      </c>
      <c r="G488" s="8" t="s">
        <v>228</v>
      </c>
      <c r="H488" s="9"/>
      <c r="I488" s="9"/>
      <c r="J488" s="9"/>
      <c r="K488" s="9"/>
      <c r="L488" s="9"/>
      <c r="M488" s="9"/>
      <c r="N488" s="9"/>
      <c r="O488" s="9"/>
      <c r="P488" s="9"/>
    </row>
    <row r="489" ht="30.0" customHeight="1">
      <c r="A489" s="4" t="s">
        <v>164</v>
      </c>
      <c r="B489" s="5" t="s">
        <v>165</v>
      </c>
      <c r="C489" s="11">
        <v>56572.36</v>
      </c>
      <c r="D489" s="10" t="str">
        <f>HYPERLINK("http://www.usrc.it/AppRendiConta/det_685_20171020.pdf","DETERMINA N. 685 DEL 20/10/2017")</f>
        <v>DETERMINA N. 685 DEL 20/10/2017</v>
      </c>
      <c r="E489" s="19" t="s">
        <v>726</v>
      </c>
      <c r="F489" s="8"/>
      <c r="G489" s="8"/>
      <c r="H489" s="9"/>
      <c r="I489" s="9"/>
      <c r="J489" s="9"/>
      <c r="K489" s="9"/>
      <c r="L489" s="9"/>
      <c r="M489" s="9"/>
      <c r="N489" s="9"/>
      <c r="O489" s="9"/>
      <c r="P489" s="9"/>
    </row>
    <row r="490" ht="30.0" customHeight="1">
      <c r="A490" s="4" t="s">
        <v>382</v>
      </c>
      <c r="B490" s="5" t="s">
        <v>383</v>
      </c>
      <c r="C490" s="11">
        <v>60912.96</v>
      </c>
      <c r="D490" s="10" t="str">
        <f>HYPERLINK("http://www.usrc.it/AppRendiConta/det_686_20171025.pdf","DETERMINA N. 686 DEL 25/10/2017")</f>
        <v>DETERMINA N. 686 DEL 25/10/2017</v>
      </c>
      <c r="E490" s="5" t="s">
        <v>727</v>
      </c>
      <c r="F490" s="5" t="s">
        <v>12</v>
      </c>
      <c r="G490" s="5" t="s">
        <v>24</v>
      </c>
      <c r="H490" s="9"/>
      <c r="I490" s="9"/>
      <c r="J490" s="9"/>
      <c r="K490" s="9"/>
      <c r="L490" s="9"/>
      <c r="M490" s="9"/>
      <c r="N490" s="9"/>
      <c r="O490" s="9"/>
      <c r="P490" s="9"/>
    </row>
    <row r="491" ht="30.0" customHeight="1">
      <c r="A491" s="4" t="s">
        <v>215</v>
      </c>
      <c r="B491" s="5" t="s">
        <v>216</v>
      </c>
      <c r="C491" s="11">
        <v>83720.62</v>
      </c>
      <c r="D491" s="10" t="str">
        <f>HYPERLINK("http://www.usrc.it/AppRendiConta/det_688_20171025.pdf","DETERMINA N. 688 DEL 25/10/2017")</f>
        <v>DETERMINA N. 688 DEL 25/10/2017</v>
      </c>
      <c r="E491" s="5" t="s">
        <v>217</v>
      </c>
      <c r="F491" s="8"/>
      <c r="G491" s="8"/>
      <c r="H491" s="9"/>
      <c r="I491" s="9"/>
      <c r="J491" s="9"/>
      <c r="K491" s="9"/>
      <c r="L491" s="9"/>
      <c r="M491" s="9"/>
      <c r="N491" s="9"/>
      <c r="O491" s="9"/>
      <c r="P491" s="9"/>
    </row>
    <row r="492" ht="30.0" customHeight="1">
      <c r="A492" s="4" t="s">
        <v>728</v>
      </c>
      <c r="B492" s="5" t="s">
        <v>729</v>
      </c>
      <c r="C492" s="11">
        <v>787259.32</v>
      </c>
      <c r="D492" s="10" t="str">
        <f>HYPERLINK("http://www.usrc.it/AppRendiConta/det_690_20171025.pdf","DETERMINA N. 690 DEL 25/10/2017")</f>
        <v>DETERMINA N. 690 DEL 25/10/2017</v>
      </c>
      <c r="E492" s="5" t="s">
        <v>730</v>
      </c>
      <c r="F492" s="8"/>
      <c r="G492" s="8"/>
      <c r="H492" s="9"/>
      <c r="I492" s="9"/>
      <c r="J492" s="9"/>
      <c r="K492" s="9"/>
      <c r="L492" s="9"/>
      <c r="M492" s="9"/>
      <c r="N492" s="9"/>
      <c r="O492" s="9"/>
      <c r="P492" s="9"/>
    </row>
    <row r="493" ht="30.0" customHeight="1">
      <c r="A493" s="4" t="s">
        <v>256</v>
      </c>
      <c r="B493" s="12" t="s">
        <v>257</v>
      </c>
      <c r="C493" s="11">
        <v>163370.21</v>
      </c>
      <c r="D493" s="10" t="str">
        <f>HYPERLINK("http://www.usrc.it/AppRendiConta/det_698_20171026.pdf","DETERMINA N. 698 DEL 26/10/2017")</f>
        <v>DETERMINA N. 698 DEL 26/10/2017</v>
      </c>
      <c r="E493" s="8" t="s">
        <v>731</v>
      </c>
      <c r="F493" s="8" t="s">
        <v>12</v>
      </c>
      <c r="G493" s="8" t="s">
        <v>24</v>
      </c>
      <c r="H493" s="9"/>
      <c r="I493" s="9"/>
      <c r="J493" s="9"/>
      <c r="K493" s="9"/>
      <c r="L493" s="9"/>
      <c r="M493" s="9"/>
      <c r="N493" s="9"/>
      <c r="O493" s="9"/>
      <c r="P493" s="9"/>
    </row>
    <row r="494" ht="30.0" customHeight="1">
      <c r="A494" s="4" t="s">
        <v>155</v>
      </c>
      <c r="B494" s="5" t="s">
        <v>156</v>
      </c>
      <c r="C494" s="11">
        <v>789110.32</v>
      </c>
      <c r="D494" s="10" t="str">
        <f>HYPERLINK("http://www.usrc.it/AppRendiConta/det_700_20171027.pdf","DETERMINA N. 700 DEL 27/10/2017")</f>
        <v>DETERMINA N. 700 DEL 27/10/2017</v>
      </c>
      <c r="E494" s="8" t="s">
        <v>157</v>
      </c>
      <c r="F494" s="8" t="s">
        <v>12</v>
      </c>
      <c r="G494" s="8" t="s">
        <v>13</v>
      </c>
      <c r="H494" s="9"/>
      <c r="I494" s="9"/>
      <c r="J494" s="9"/>
      <c r="K494" s="9"/>
      <c r="L494" s="9"/>
      <c r="M494" s="9"/>
      <c r="N494" s="9"/>
      <c r="O494" s="9"/>
      <c r="P494" s="9"/>
    </row>
    <row r="495" ht="30.0" customHeight="1">
      <c r="A495" s="4" t="s">
        <v>59</v>
      </c>
      <c r="B495" s="5" t="s">
        <v>60</v>
      </c>
      <c r="C495" s="11">
        <v>380922.66</v>
      </c>
      <c r="D495" s="10" t="str">
        <f>HYPERLINK("http://www.usrc.it/AppRendiConta/det_701_20171027.pdf","DETERMINA N. 701 DEL 27/10/2017")</f>
        <v>DETERMINA N. 701 DEL 27/10/2017</v>
      </c>
      <c r="E495" s="8" t="s">
        <v>411</v>
      </c>
      <c r="F495" s="8" t="s">
        <v>12</v>
      </c>
      <c r="G495" s="8" t="s">
        <v>62</v>
      </c>
      <c r="H495" s="9"/>
      <c r="I495" s="9"/>
      <c r="J495" s="9"/>
      <c r="K495" s="9"/>
      <c r="L495" s="9"/>
      <c r="M495" s="9"/>
      <c r="N495" s="9"/>
      <c r="O495" s="9"/>
      <c r="P495" s="9"/>
    </row>
    <row r="496" ht="30.0" customHeight="1">
      <c r="A496" s="4" t="s">
        <v>483</v>
      </c>
      <c r="B496" s="5" t="s">
        <v>484</v>
      </c>
      <c r="C496" s="11">
        <v>191765.8</v>
      </c>
      <c r="D496" s="10" t="str">
        <f>HYPERLINK("http://www.usrc.it/AppRendiConta/det_706_20171030.pdf","DETERMINA N. 706 DEL 30/10/2017")</f>
        <v>DETERMINA N. 706 DEL 30/10/2017</v>
      </c>
      <c r="E496" s="8" t="s">
        <v>485</v>
      </c>
      <c r="F496" s="8" t="s">
        <v>12</v>
      </c>
      <c r="G496" s="8" t="s">
        <v>13</v>
      </c>
      <c r="H496" s="9"/>
      <c r="I496" s="9"/>
      <c r="J496" s="9"/>
      <c r="K496" s="9"/>
      <c r="L496" s="9"/>
      <c r="M496" s="9"/>
      <c r="N496" s="9"/>
      <c r="O496" s="9"/>
      <c r="P496" s="9"/>
    </row>
    <row r="497" ht="30.0" customHeight="1">
      <c r="A497" s="4" t="s">
        <v>52</v>
      </c>
      <c r="B497" s="5" t="s">
        <v>53</v>
      </c>
      <c r="C497" s="11">
        <v>5200.0</v>
      </c>
      <c r="D497" s="10" t="str">
        <f>HYPERLINK("http://www.usrc.it/AppRendiConta/det_707_20171030.pdf","DETERMINA N. 707 DEL 30/10/2017")</f>
        <v>DETERMINA N. 707 DEL 30/10/2017</v>
      </c>
      <c r="E497" s="8" t="s">
        <v>732</v>
      </c>
      <c r="F497" s="8" t="s">
        <v>12</v>
      </c>
      <c r="G497" s="8" t="s">
        <v>24</v>
      </c>
      <c r="H497" s="9"/>
      <c r="I497" s="9"/>
      <c r="J497" s="9"/>
      <c r="K497" s="9"/>
      <c r="L497" s="9"/>
      <c r="M497" s="9"/>
      <c r="N497" s="9"/>
      <c r="O497" s="9"/>
      <c r="P497" s="9"/>
    </row>
    <row r="498" ht="30.0" customHeight="1">
      <c r="A498" s="4" t="s">
        <v>52</v>
      </c>
      <c r="B498" s="5" t="s">
        <v>53</v>
      </c>
      <c r="C498" s="11">
        <v>7232.16</v>
      </c>
      <c r="D498" s="10" t="str">
        <f>HYPERLINK("http://www.usrc.it/AppRendiConta/det_709_20171030.pdf","DETERMINA N. 709 DEL 30/10/2017")</f>
        <v>DETERMINA N. 709 DEL 30/10/2017</v>
      </c>
      <c r="E498" s="8" t="s">
        <v>733</v>
      </c>
      <c r="F498" s="8" t="s">
        <v>12</v>
      </c>
      <c r="G498" s="8" t="s">
        <v>24</v>
      </c>
      <c r="H498" s="9"/>
      <c r="I498" s="9"/>
      <c r="J498" s="9"/>
      <c r="K498" s="9"/>
      <c r="L498" s="9"/>
      <c r="M498" s="9"/>
      <c r="N498" s="9"/>
      <c r="O498" s="9"/>
      <c r="P498" s="9"/>
    </row>
    <row r="499" ht="30.0" customHeight="1">
      <c r="A499" s="4" t="s">
        <v>63</v>
      </c>
      <c r="B499" s="5" t="s">
        <v>64</v>
      </c>
      <c r="C499" s="11">
        <v>2879139.07</v>
      </c>
      <c r="D499" s="10" t="str">
        <f>HYPERLINK("http://www.usrc.it/AppRendiConta/det_719_20171109.pdf","DETERMINA N. 719 DEL 09/11/2017")</f>
        <v>DETERMINA N. 719 DEL 09/11/2017</v>
      </c>
      <c r="E499" s="8" t="s">
        <v>734</v>
      </c>
      <c r="F499" s="8" t="s">
        <v>12</v>
      </c>
      <c r="G499" s="8" t="s">
        <v>102</v>
      </c>
      <c r="H499" s="9"/>
      <c r="I499" s="9"/>
      <c r="J499" s="9"/>
      <c r="K499" s="9"/>
      <c r="L499" s="9"/>
      <c r="M499" s="9"/>
      <c r="N499" s="9"/>
      <c r="O499" s="9"/>
      <c r="P499" s="9"/>
    </row>
    <row r="500" ht="30.0" customHeight="1">
      <c r="A500" s="4" t="s">
        <v>32</v>
      </c>
      <c r="B500" s="5" t="s">
        <v>33</v>
      </c>
      <c r="C500" s="11">
        <v>4109067.94</v>
      </c>
      <c r="D500" s="10" t="str">
        <f>HYPERLINK("http://www.usrc.it/AppRendiConta/det_723_20171109.pdf","DETERMINA N. 723 DEL 09/11/2017")</f>
        <v>DETERMINA N. 723 DEL 09/11/2017</v>
      </c>
      <c r="E500" s="8" t="s">
        <v>687</v>
      </c>
      <c r="F500" s="8" t="s">
        <v>12</v>
      </c>
      <c r="G500" s="8" t="s">
        <v>13</v>
      </c>
      <c r="H500" s="9"/>
      <c r="I500" s="9"/>
      <c r="J500" s="9"/>
      <c r="K500" s="9"/>
      <c r="L500" s="9"/>
      <c r="M500" s="9"/>
      <c r="N500" s="9"/>
      <c r="O500" s="9"/>
      <c r="P500" s="9"/>
    </row>
    <row r="501" ht="30.0" customHeight="1">
      <c r="A501" s="4" t="s">
        <v>49</v>
      </c>
      <c r="B501" s="5" t="s">
        <v>50</v>
      </c>
      <c r="C501" s="11">
        <v>617550.64</v>
      </c>
      <c r="D501" s="10" t="str">
        <f>HYPERLINK("http://www.usrc.it/AppRendiConta/det_724_20171109.pdf","DETERMINA N. 724 DEL 09/11/2017")</f>
        <v>DETERMINA N. 724 DEL 09/11/2017</v>
      </c>
      <c r="E501" s="8" t="s">
        <v>735</v>
      </c>
      <c r="F501" s="8" t="s">
        <v>12</v>
      </c>
      <c r="G501" s="8" t="s">
        <v>58</v>
      </c>
      <c r="H501" s="9"/>
      <c r="I501" s="9"/>
      <c r="J501" s="9"/>
      <c r="K501" s="9"/>
      <c r="L501" s="9"/>
      <c r="M501" s="9"/>
      <c r="N501" s="9"/>
      <c r="O501" s="9"/>
      <c r="P501" s="9"/>
    </row>
    <row r="502" ht="30.0" customHeight="1">
      <c r="A502" s="4" t="s">
        <v>159</v>
      </c>
      <c r="B502" s="5" t="s">
        <v>160</v>
      </c>
      <c r="C502" s="11">
        <v>3198816.31</v>
      </c>
      <c r="D502" s="10" t="str">
        <f>HYPERLINK("http://www.usrc.it/AppRendiConta/det_725_20171109.pdf","DETERMINA N. 725 DEL 09/11/2017")</f>
        <v>DETERMINA N. 725 DEL 09/11/2017</v>
      </c>
      <c r="E502" s="8" t="s">
        <v>736</v>
      </c>
      <c r="F502" s="8" t="s">
        <v>12</v>
      </c>
      <c r="G502" s="8" t="s">
        <v>496</v>
      </c>
      <c r="H502" s="9"/>
      <c r="I502" s="9"/>
      <c r="J502" s="9"/>
      <c r="K502" s="9"/>
      <c r="L502" s="9"/>
      <c r="M502" s="9"/>
      <c r="N502" s="9"/>
      <c r="O502" s="9"/>
      <c r="P502" s="9"/>
    </row>
    <row r="503" ht="30.0" customHeight="1">
      <c r="A503" s="4" t="s">
        <v>120</v>
      </c>
      <c r="B503" s="5" t="s">
        <v>121</v>
      </c>
      <c r="C503" s="11">
        <v>1733298.01</v>
      </c>
      <c r="D503" s="10" t="str">
        <f>HYPERLINK("http://www.usrc.it/AppRendiConta/det_726_20171109.pdf","DETERMINA N. 726 DEL 09/11/2017")</f>
        <v>DETERMINA N. 726 DEL 09/11/2017</v>
      </c>
      <c r="E503" s="8" t="s">
        <v>374</v>
      </c>
      <c r="F503" s="8" t="s">
        <v>12</v>
      </c>
      <c r="G503" s="8" t="s">
        <v>102</v>
      </c>
      <c r="H503" s="9"/>
      <c r="I503" s="9"/>
      <c r="J503" s="9"/>
      <c r="K503" s="9"/>
      <c r="L503" s="9"/>
      <c r="M503" s="9"/>
      <c r="N503" s="9"/>
      <c r="O503" s="9"/>
      <c r="P503" s="9"/>
    </row>
    <row r="504" ht="30.0" customHeight="1">
      <c r="A504" s="4" t="s">
        <v>108</v>
      </c>
      <c r="B504" s="5" t="s">
        <v>109</v>
      </c>
      <c r="C504" s="11">
        <v>3672218.15</v>
      </c>
      <c r="D504" s="10" t="str">
        <f>HYPERLINK("http://www.usrc.it/AppRendiConta/det_727_20171109.pdf","DETERMINA N. 727 DEL 09/11/2017")</f>
        <v>DETERMINA N. 727 DEL 09/11/2017</v>
      </c>
      <c r="E504" s="8" t="s">
        <v>370</v>
      </c>
      <c r="F504" s="8" t="s">
        <v>12</v>
      </c>
      <c r="G504" s="8" t="s">
        <v>13</v>
      </c>
      <c r="H504" s="9"/>
      <c r="I504" s="9"/>
      <c r="J504" s="9"/>
      <c r="K504" s="9"/>
      <c r="L504" s="9"/>
      <c r="M504" s="9"/>
      <c r="N504" s="9"/>
      <c r="O504" s="9"/>
      <c r="P504" s="9"/>
    </row>
    <row r="505" ht="30.0" customHeight="1">
      <c r="A505" s="4" t="s">
        <v>210</v>
      </c>
      <c r="B505" s="5" t="s">
        <v>211</v>
      </c>
      <c r="C505" s="11">
        <v>3712757.81</v>
      </c>
      <c r="D505" s="10" t="str">
        <f>HYPERLINK("http://www.usrc.it/AppRendiConta/det_728_20171109.pdf","DETERMINA N. 728 DEL 09/11/2017")</f>
        <v>DETERMINA N. 728 DEL 09/11/2017</v>
      </c>
      <c r="E505" s="8" t="s">
        <v>737</v>
      </c>
      <c r="F505" s="8" t="s">
        <v>12</v>
      </c>
      <c r="G505" s="8" t="s">
        <v>13</v>
      </c>
      <c r="H505" s="9"/>
      <c r="I505" s="9"/>
      <c r="J505" s="9"/>
      <c r="K505" s="9"/>
      <c r="L505" s="9"/>
      <c r="M505" s="9"/>
      <c r="N505" s="9"/>
      <c r="O505" s="9"/>
      <c r="P505" s="9"/>
    </row>
    <row r="506" ht="30.0" customHeight="1">
      <c r="A506" s="4" t="s">
        <v>223</v>
      </c>
      <c r="B506" s="5" t="s">
        <v>224</v>
      </c>
      <c r="C506" s="11">
        <v>1939.0</v>
      </c>
      <c r="D506" s="10" t="str">
        <f>HYPERLINK("http://www.usrc.it/AppRendiConta/det_729_20171109.pdf","DETERMINA N. 729 DEL 09/11/2017")</f>
        <v>DETERMINA N. 729 DEL 09/11/2017</v>
      </c>
      <c r="E506" s="8" t="s">
        <v>738</v>
      </c>
      <c r="F506" s="8" t="s">
        <v>12</v>
      </c>
      <c r="G506" s="8" t="s">
        <v>24</v>
      </c>
      <c r="H506" s="9"/>
      <c r="I506" s="9"/>
      <c r="J506" s="9"/>
      <c r="K506" s="9"/>
      <c r="L506" s="9"/>
      <c r="M506" s="9"/>
      <c r="N506" s="9"/>
      <c r="O506" s="9"/>
      <c r="P506" s="9"/>
    </row>
    <row r="507" ht="30.0" customHeight="1">
      <c r="A507" s="4" t="s">
        <v>117</v>
      </c>
      <c r="B507" s="5" t="s">
        <v>118</v>
      </c>
      <c r="C507" s="11">
        <v>60681.9</v>
      </c>
      <c r="D507" s="10" t="str">
        <f>HYPERLINK("http://www.usrc.it/AppRendiConta/det_731_20171109.pdf","DETERMINA N. 731 DEL 09/11/2017")</f>
        <v>DETERMINA N. 731 DEL 09/11/2017</v>
      </c>
      <c r="E507" s="8" t="s">
        <v>739</v>
      </c>
      <c r="F507" s="8" t="s">
        <v>12</v>
      </c>
      <c r="G507" s="8" t="s">
        <v>206</v>
      </c>
      <c r="H507" s="9"/>
      <c r="I507" s="9"/>
      <c r="J507" s="9"/>
      <c r="K507" s="9"/>
      <c r="L507" s="9"/>
      <c r="M507" s="9"/>
      <c r="N507" s="9"/>
      <c r="O507" s="9"/>
      <c r="P507" s="9"/>
    </row>
    <row r="508" ht="30.0" customHeight="1">
      <c r="A508" s="4" t="s">
        <v>740</v>
      </c>
      <c r="B508" s="5" t="s">
        <v>81</v>
      </c>
      <c r="C508" s="11">
        <v>2814694.46</v>
      </c>
      <c r="D508" s="10" t="str">
        <f>HYPERLINK("http://www.usrc.it/AppRendiConta/det_732_20171109.pdf","DETERMINA N. 732 DEL 09/11/2017")</f>
        <v>DETERMINA N. 732 DEL 09/11/2017</v>
      </c>
      <c r="E508" s="8" t="s">
        <v>741</v>
      </c>
      <c r="F508" s="8" t="s">
        <v>12</v>
      </c>
      <c r="G508" s="8" t="s">
        <v>13</v>
      </c>
      <c r="H508" s="9"/>
      <c r="I508" s="9"/>
      <c r="J508" s="9"/>
      <c r="K508" s="9"/>
      <c r="L508" s="9"/>
      <c r="M508" s="9"/>
      <c r="N508" s="9"/>
      <c r="O508" s="9"/>
      <c r="P508" s="9"/>
    </row>
    <row r="509" ht="30.0" customHeight="1">
      <c r="A509" s="4" t="s">
        <v>52</v>
      </c>
      <c r="B509" s="5" t="s">
        <v>53</v>
      </c>
      <c r="C509" s="11">
        <v>57357.41</v>
      </c>
      <c r="D509" s="10" t="str">
        <f>HYPERLINK("http://www.usrc.it/AppRendiConta/det_733_20171109.pdf","DETERMINA N. 733 DEL 09/11/2017")</f>
        <v>DETERMINA N. 733 DEL 09/11/2017</v>
      </c>
      <c r="E509" s="8" t="s">
        <v>742</v>
      </c>
      <c r="F509" s="8" t="s">
        <v>12</v>
      </c>
      <c r="G509" s="8" t="s">
        <v>206</v>
      </c>
      <c r="H509" s="9"/>
      <c r="I509" s="9"/>
      <c r="J509" s="9"/>
      <c r="K509" s="9"/>
      <c r="L509" s="9"/>
      <c r="M509" s="9"/>
      <c r="N509" s="9"/>
      <c r="O509" s="9"/>
      <c r="P509" s="9"/>
    </row>
    <row r="510" ht="30.0" customHeight="1">
      <c r="A510" s="4" t="s">
        <v>134</v>
      </c>
      <c r="B510" s="5" t="s">
        <v>118</v>
      </c>
      <c r="C510" s="11">
        <v>847725.1</v>
      </c>
      <c r="D510" s="10" t="str">
        <f>HYPERLINK("http://www.usrc.it/AppRendiConta/det_739_20171115.pdf","DETERMINA N. 739 DEL 15/11/2017")</f>
        <v>DETERMINA N. 739 DEL 15/11/2017</v>
      </c>
      <c r="E510" s="8" t="s">
        <v>743</v>
      </c>
      <c r="F510" s="8" t="s">
        <v>12</v>
      </c>
      <c r="G510" s="8" t="s">
        <v>204</v>
      </c>
      <c r="H510" s="9"/>
      <c r="I510" s="9"/>
      <c r="J510" s="9"/>
      <c r="K510" s="9"/>
      <c r="L510" s="9"/>
      <c r="M510" s="9"/>
      <c r="N510" s="9"/>
      <c r="O510" s="9"/>
      <c r="P510" s="9"/>
    </row>
    <row r="511" ht="30.0" customHeight="1">
      <c r="A511" s="4" t="s">
        <v>148</v>
      </c>
      <c r="B511" s="5" t="s">
        <v>149</v>
      </c>
      <c r="C511" s="11">
        <v>3698069.26</v>
      </c>
      <c r="D511" s="10" t="str">
        <f>HYPERLINK("http://www.usrc.it/AppRendiConta/det_740_20171115.pdf","DETERMINA N. 740 DEL 15/11/2017")</f>
        <v>DETERMINA N. 740 DEL 15/11/2017</v>
      </c>
      <c r="E511" s="8" t="s">
        <v>609</v>
      </c>
      <c r="F511" s="8" t="s">
        <v>12</v>
      </c>
      <c r="G511" s="8" t="s">
        <v>13</v>
      </c>
      <c r="H511" s="9"/>
      <c r="I511" s="9"/>
      <c r="J511" s="9"/>
      <c r="K511" s="9"/>
      <c r="L511" s="9"/>
      <c r="M511" s="9"/>
      <c r="N511" s="9"/>
      <c r="O511" s="9"/>
      <c r="P511" s="9"/>
    </row>
    <row r="512" ht="30.0" customHeight="1">
      <c r="A512" s="4" t="s">
        <v>744</v>
      </c>
      <c r="B512" s="5" t="s">
        <v>745</v>
      </c>
      <c r="C512" s="11">
        <v>65504.01</v>
      </c>
      <c r="D512" s="10" t="str">
        <f>HYPERLINK("http://www.usrc.it/AppRendiConta/det_742_20171115.pdf","DETERMINA N. 742 DEL 15/11/2017")</f>
        <v>DETERMINA N. 742 DEL 15/11/2017</v>
      </c>
      <c r="E512" s="8" t="s">
        <v>746</v>
      </c>
      <c r="F512" s="8" t="s">
        <v>12</v>
      </c>
      <c r="G512" s="8" t="s">
        <v>747</v>
      </c>
      <c r="H512" s="9"/>
      <c r="I512" s="9"/>
      <c r="J512" s="9"/>
      <c r="K512" s="9"/>
      <c r="L512" s="9"/>
      <c r="M512" s="9"/>
      <c r="N512" s="9"/>
      <c r="O512" s="9"/>
      <c r="P512" s="9"/>
    </row>
    <row r="513" ht="30.0" customHeight="1">
      <c r="A513" s="4" t="s">
        <v>594</v>
      </c>
      <c r="B513" s="5" t="s">
        <v>595</v>
      </c>
      <c r="C513" s="11">
        <v>355560.58</v>
      </c>
      <c r="D513" s="10" t="str">
        <f>HYPERLINK("http://www.usrc.it/AppRendiConta/det_743_20171115.pdf","DETERMINA N. 743 DEL 15/11/2017")</f>
        <v>DETERMINA N. 743 DEL 15/11/2017</v>
      </c>
      <c r="E513" s="5" t="s">
        <v>748</v>
      </c>
      <c r="F513" s="5" t="s">
        <v>12</v>
      </c>
      <c r="G513" s="5" t="s">
        <v>13</v>
      </c>
      <c r="H513" s="9"/>
      <c r="I513" s="9"/>
      <c r="J513" s="9"/>
      <c r="K513" s="9"/>
      <c r="L513" s="9"/>
      <c r="M513" s="9"/>
      <c r="N513" s="9"/>
      <c r="O513" s="9"/>
      <c r="P513" s="9"/>
    </row>
    <row r="514" ht="30.0" customHeight="1">
      <c r="A514" s="4" t="s">
        <v>278</v>
      </c>
      <c r="B514" s="5" t="s">
        <v>279</v>
      </c>
      <c r="C514" s="11">
        <v>77242.56</v>
      </c>
      <c r="D514" s="10" t="str">
        <f>HYPERLINK("http://www.usrc.it/AppRendiConta/det_755_20171117.pdf","DETERMINA N. 755 DEL 17/11/2017")</f>
        <v>DETERMINA N. 755 DEL 17/11/2017</v>
      </c>
      <c r="E514" s="5" t="s">
        <v>749</v>
      </c>
      <c r="F514" s="5" t="s">
        <v>12</v>
      </c>
      <c r="G514" s="5" t="s">
        <v>13</v>
      </c>
      <c r="H514" s="9"/>
      <c r="I514" s="9"/>
      <c r="J514" s="9"/>
      <c r="K514" s="9"/>
      <c r="L514" s="9"/>
      <c r="M514" s="9"/>
      <c r="N514" s="9"/>
      <c r="O514" s="9"/>
      <c r="P514" s="9"/>
    </row>
    <row r="515" ht="30.0" customHeight="1">
      <c r="A515" s="4" t="s">
        <v>99</v>
      </c>
      <c r="B515" s="5" t="s">
        <v>100</v>
      </c>
      <c r="C515" s="11">
        <v>231319.7</v>
      </c>
      <c r="D515" s="10" t="str">
        <f>HYPERLINK("http://www.usrc.it/AppRendiConta/det_756_20171117.pdf","DETERMINA N. 756 DEL 17/11/2017")</f>
        <v>DETERMINA N. 756 DEL 17/11/2017</v>
      </c>
      <c r="E515" s="5" t="s">
        <v>482</v>
      </c>
      <c r="F515" s="5" t="s">
        <v>12</v>
      </c>
      <c r="G515" s="5" t="s">
        <v>13</v>
      </c>
      <c r="H515" s="9"/>
      <c r="I515" s="9"/>
      <c r="J515" s="9"/>
      <c r="K515" s="9"/>
      <c r="L515" s="9"/>
      <c r="M515" s="9"/>
      <c r="N515" s="9"/>
      <c r="O515" s="9"/>
      <c r="P515" s="9"/>
    </row>
    <row r="516" ht="30.0" customHeight="1">
      <c r="A516" s="4" t="s">
        <v>69</v>
      </c>
      <c r="B516" s="5" t="s">
        <v>70</v>
      </c>
      <c r="C516" s="11">
        <v>297775.75</v>
      </c>
      <c r="D516" s="10" t="str">
        <f>HYPERLINK("http://www.usrc.it/AppRendiConta/det_757_20171117.pdf","DETERMINA N. 757 DEL 17/11/2017")</f>
        <v>DETERMINA N. 757 DEL 17/11/2017</v>
      </c>
      <c r="E516" s="5" t="s">
        <v>750</v>
      </c>
      <c r="F516" s="5" t="s">
        <v>12</v>
      </c>
      <c r="G516" s="5" t="s">
        <v>24</v>
      </c>
      <c r="H516" s="9"/>
      <c r="I516" s="9"/>
      <c r="J516" s="9"/>
      <c r="K516" s="9"/>
      <c r="L516" s="9"/>
      <c r="M516" s="9"/>
      <c r="N516" s="9"/>
      <c r="O516" s="9"/>
      <c r="P516" s="9"/>
    </row>
    <row r="517" ht="30.0" customHeight="1">
      <c r="A517" s="4" t="s">
        <v>103</v>
      </c>
      <c r="B517" s="5" t="s">
        <v>104</v>
      </c>
      <c r="C517" s="11">
        <v>79946.15</v>
      </c>
      <c r="D517" s="10" t="str">
        <f>HYPERLINK("http://www.usrc.it/AppRendiConta/det_769_20171130.pdf","DETERMINA N. 769 DEL 30/11/2017")</f>
        <v>DETERMINA N. 769 DEL 30/11/2017</v>
      </c>
      <c r="E517" s="5" t="s">
        <v>751</v>
      </c>
      <c r="F517" s="5" t="s">
        <v>12</v>
      </c>
      <c r="G517" s="5" t="s">
        <v>24</v>
      </c>
      <c r="H517" s="9"/>
      <c r="I517" s="9"/>
      <c r="J517" s="9"/>
      <c r="K517" s="9"/>
      <c r="L517" s="9"/>
      <c r="M517" s="9"/>
      <c r="N517" s="9"/>
      <c r="O517" s="9"/>
      <c r="P517" s="9"/>
    </row>
    <row r="518" ht="30.0" customHeight="1">
      <c r="A518" s="4" t="s">
        <v>39</v>
      </c>
      <c r="B518" s="5" t="s">
        <v>40</v>
      </c>
      <c r="C518" s="11">
        <v>64565.35</v>
      </c>
      <c r="D518" s="10" t="str">
        <f>HYPERLINK("http://www.usrc.it/AppRendiConta/det_773_20171204.pdf","DETERMINA N. 773 DEL 04/12/2017")</f>
        <v>DETERMINA N. 773 DEL 04/12/2017</v>
      </c>
      <c r="E518" s="5" t="s">
        <v>752</v>
      </c>
      <c r="F518" s="5" t="s">
        <v>12</v>
      </c>
      <c r="G518" s="5" t="s">
        <v>24</v>
      </c>
      <c r="H518" s="9"/>
      <c r="I518" s="9"/>
      <c r="J518" s="9"/>
      <c r="K518" s="9"/>
      <c r="L518" s="9"/>
      <c r="M518" s="9"/>
      <c r="N518" s="9"/>
      <c r="O518" s="9"/>
      <c r="P518" s="9"/>
    </row>
    <row r="519" ht="30.0" customHeight="1">
      <c r="A519" s="4" t="s">
        <v>39</v>
      </c>
      <c r="B519" s="5" t="s">
        <v>40</v>
      </c>
      <c r="C519" s="11">
        <v>15464.53</v>
      </c>
      <c r="D519" s="10" t="str">
        <f>HYPERLINK("http://www.usrc.it/AppRendiConta/det_774_20171204.pdf","DETERMINA N. 774 DEL 04/12/2017")</f>
        <v>DETERMINA N. 774 DEL 04/12/2017</v>
      </c>
      <c r="E519" s="5" t="s">
        <v>753</v>
      </c>
      <c r="F519" s="8" t="s">
        <v>12</v>
      </c>
      <c r="G519" s="8" t="s">
        <v>366</v>
      </c>
      <c r="H519" s="9"/>
      <c r="I519" s="9"/>
      <c r="J519" s="9"/>
      <c r="K519" s="9"/>
      <c r="L519" s="9"/>
      <c r="M519" s="9"/>
      <c r="N519" s="9"/>
      <c r="O519" s="9"/>
      <c r="P519" s="9"/>
    </row>
    <row r="520" ht="30.0" customHeight="1">
      <c r="A520" s="4" t="s">
        <v>52</v>
      </c>
      <c r="B520" s="5" t="s">
        <v>53</v>
      </c>
      <c r="C520" s="11">
        <v>19404.44</v>
      </c>
      <c r="D520" s="10" t="str">
        <f>HYPERLINK("http://www.usrc.it/AppRendiConta/det_775_20171204.pdf","DETERMINA N. 775 DEL 04/12/2017")</f>
        <v>DETERMINA N. 775 DEL 04/12/2017</v>
      </c>
      <c r="E520" s="5" t="s">
        <v>754</v>
      </c>
      <c r="F520" s="8" t="s">
        <v>12</v>
      </c>
      <c r="G520" s="8" t="s">
        <v>366</v>
      </c>
      <c r="H520" s="9"/>
      <c r="I520" s="9"/>
      <c r="J520" s="9"/>
      <c r="K520" s="9"/>
      <c r="L520" s="9"/>
      <c r="M520" s="9"/>
      <c r="N520" s="9"/>
      <c r="O520" s="9"/>
      <c r="P520" s="9"/>
    </row>
    <row r="521" ht="30.0" customHeight="1">
      <c r="A521" s="4" t="s">
        <v>210</v>
      </c>
      <c r="B521" s="5" t="s">
        <v>211</v>
      </c>
      <c r="C521" s="11">
        <v>1359.98</v>
      </c>
      <c r="D521" s="10" t="str">
        <f>HYPERLINK("http://www.usrc.it/AppRendiConta/det_776_20171204.pdf","DETERMINA N. 776 DEL 04/12/2017")</f>
        <v>DETERMINA N. 776 DEL 04/12/2017</v>
      </c>
      <c r="E521" s="5" t="s">
        <v>755</v>
      </c>
      <c r="F521" s="8" t="s">
        <v>12</v>
      </c>
      <c r="G521" s="8" t="s">
        <v>366</v>
      </c>
      <c r="H521" s="9"/>
      <c r="I521" s="9"/>
      <c r="J521" s="9"/>
      <c r="K521" s="9"/>
      <c r="L521" s="9"/>
      <c r="M521" s="9"/>
      <c r="N521" s="9"/>
      <c r="O521" s="9"/>
      <c r="P521" s="9"/>
    </row>
    <row r="522" ht="30.0" customHeight="1">
      <c r="A522" s="4" t="s">
        <v>46</v>
      </c>
      <c r="B522" s="5" t="s">
        <v>47</v>
      </c>
      <c r="C522" s="11">
        <v>589.46</v>
      </c>
      <c r="D522" s="10" t="str">
        <f>HYPERLINK("http://www.usrc.it/AppRendiConta/det_777_20171204.pdf","DETERMINA N. 777 DEL 04/12/2017")</f>
        <v>DETERMINA N. 777 DEL 04/12/2017</v>
      </c>
      <c r="E522" s="5" t="s">
        <v>756</v>
      </c>
      <c r="F522" s="8" t="s">
        <v>12</v>
      </c>
      <c r="G522" s="8" t="s">
        <v>206</v>
      </c>
      <c r="H522" s="9"/>
      <c r="I522" s="9"/>
      <c r="J522" s="9"/>
      <c r="K522" s="9"/>
      <c r="L522" s="9"/>
      <c r="M522" s="9"/>
      <c r="N522" s="9"/>
      <c r="O522" s="9"/>
      <c r="P522" s="9"/>
    </row>
    <row r="523" ht="30.0" customHeight="1">
      <c r="A523" s="4" t="s">
        <v>231</v>
      </c>
      <c r="B523" s="5" t="s">
        <v>232</v>
      </c>
      <c r="C523" s="11">
        <v>39015.04</v>
      </c>
      <c r="D523" s="10" t="str">
        <f>HYPERLINK("http://www.usrc.it/AppRendiConta/det_782_20171204.pdf","DETERMINA N. 782 DEL 04/12/2017")</f>
        <v>DETERMINA N. 782 DEL 04/12/2017</v>
      </c>
      <c r="E523" s="5" t="s">
        <v>757</v>
      </c>
      <c r="F523" s="8" t="s">
        <v>12</v>
      </c>
      <c r="G523" s="8" t="s">
        <v>58</v>
      </c>
      <c r="H523" s="9"/>
      <c r="I523" s="9"/>
      <c r="J523" s="9"/>
      <c r="K523" s="9"/>
      <c r="L523" s="9"/>
      <c r="M523" s="9"/>
      <c r="N523" s="9"/>
      <c r="O523" s="9"/>
      <c r="P523" s="9"/>
    </row>
    <row r="524" ht="30.0" customHeight="1">
      <c r="A524" s="4" t="s">
        <v>613</v>
      </c>
      <c r="B524" s="5" t="s">
        <v>614</v>
      </c>
      <c r="C524" s="11">
        <v>70299.48</v>
      </c>
      <c r="D524" s="10" t="str">
        <f>HYPERLINK("http://www.usrc.it/AppRendiConta/det_783_20171204.pdf","DETERMINA N. 783 DEL 04/12/2017")</f>
        <v>DETERMINA N. 783 DEL 04/12/2017</v>
      </c>
      <c r="E524" s="5" t="s">
        <v>615</v>
      </c>
      <c r="F524" s="8" t="s">
        <v>12</v>
      </c>
      <c r="G524" s="8" t="s">
        <v>13</v>
      </c>
      <c r="H524" s="9"/>
      <c r="I524" s="9"/>
      <c r="J524" s="9"/>
      <c r="K524" s="9"/>
      <c r="L524" s="9"/>
      <c r="M524" s="9"/>
      <c r="N524" s="9"/>
      <c r="O524" s="9"/>
      <c r="P524" s="9"/>
    </row>
    <row r="525" ht="30.0" customHeight="1">
      <c r="A525" s="4" t="s">
        <v>235</v>
      </c>
      <c r="B525" s="5" t="s">
        <v>236</v>
      </c>
      <c r="C525" s="11">
        <v>1279665.67</v>
      </c>
      <c r="D525" s="10" t="str">
        <f>HYPERLINK("http://www.usrc.it/AppRendiConta/det_784_20171204.pdf","DETERMINA N. 784 DEL 04/12/2017")</f>
        <v>DETERMINA N. 784 DEL 04/12/2017</v>
      </c>
      <c r="E525" s="5" t="s">
        <v>758</v>
      </c>
      <c r="F525" s="8" t="s">
        <v>12</v>
      </c>
      <c r="G525" s="8" t="s">
        <v>13</v>
      </c>
      <c r="H525" s="9"/>
      <c r="I525" s="9"/>
      <c r="J525" s="9"/>
      <c r="K525" s="9"/>
      <c r="L525" s="9"/>
      <c r="M525" s="9"/>
      <c r="N525" s="9"/>
      <c r="O525" s="9"/>
      <c r="P525" s="9"/>
    </row>
    <row r="526" ht="30.0" customHeight="1">
      <c r="A526" s="4" t="s">
        <v>25</v>
      </c>
      <c r="B526" s="5" t="s">
        <v>26</v>
      </c>
      <c r="C526" s="11">
        <v>3768475.73</v>
      </c>
      <c r="D526" s="10" t="str">
        <f>HYPERLINK("http://www.usrc.it/AppRendiConta/det_785_20171204.pdf","DETERMINA N. 785 DEL 04/12/2017")</f>
        <v>DETERMINA N. 785 DEL 04/12/2017</v>
      </c>
      <c r="E526" s="5" t="s">
        <v>759</v>
      </c>
      <c r="F526" s="8" t="s">
        <v>12</v>
      </c>
      <c r="G526" s="8" t="s">
        <v>13</v>
      </c>
      <c r="H526" s="9"/>
      <c r="I526" s="9"/>
      <c r="J526" s="9"/>
      <c r="K526" s="9"/>
      <c r="L526" s="9"/>
      <c r="M526" s="9"/>
      <c r="N526" s="9"/>
      <c r="O526" s="9"/>
      <c r="P526" s="9"/>
    </row>
    <row r="527" ht="30.0" customHeight="1">
      <c r="A527" s="4" t="s">
        <v>367</v>
      </c>
      <c r="B527" s="5" t="s">
        <v>118</v>
      </c>
      <c r="C527" s="11">
        <v>1132224.59</v>
      </c>
      <c r="D527" s="10" t="str">
        <f>HYPERLINK("http://www.usrc.it/AppRendiConta/det_786_20171204.pdf","DETERMINA N. 786 DEL 04/12/2017")</f>
        <v>DETERMINA N. 786 DEL 04/12/2017</v>
      </c>
      <c r="E527" s="5" t="s">
        <v>369</v>
      </c>
      <c r="F527" s="8" t="s">
        <v>12</v>
      </c>
      <c r="G527" s="8" t="s">
        <v>13</v>
      </c>
      <c r="H527" s="9"/>
      <c r="I527" s="9"/>
      <c r="J527" s="9"/>
      <c r="K527" s="9"/>
      <c r="L527" s="9"/>
      <c r="M527" s="9"/>
      <c r="N527" s="9"/>
      <c r="O527" s="9"/>
      <c r="P527" s="9"/>
    </row>
    <row r="528" ht="30.0" customHeight="1">
      <c r="A528" s="4" t="s">
        <v>299</v>
      </c>
      <c r="B528" s="5" t="s">
        <v>368</v>
      </c>
      <c r="C528" s="11">
        <v>176809.79</v>
      </c>
      <c r="D528" s="10" t="str">
        <f>HYPERLINK("http://www.usrc.it/AppRendiConta/det_787_20171204.pdf","DETERMINA N. 787 DEL 04/12/2017")</f>
        <v>DETERMINA N. 787 DEL 04/12/2017</v>
      </c>
      <c r="E528" s="5" t="s">
        <v>301</v>
      </c>
      <c r="F528" s="8" t="s">
        <v>12</v>
      </c>
      <c r="G528" s="8" t="s">
        <v>13</v>
      </c>
      <c r="H528" s="9"/>
      <c r="I528" s="9"/>
      <c r="J528" s="9"/>
      <c r="K528" s="9"/>
      <c r="L528" s="9"/>
      <c r="M528" s="9"/>
      <c r="N528" s="9"/>
      <c r="O528" s="9"/>
      <c r="P528" s="9"/>
    </row>
    <row r="529" ht="30.0" customHeight="1">
      <c r="A529" s="4" t="s">
        <v>248</v>
      </c>
      <c r="B529" s="5" t="s">
        <v>249</v>
      </c>
      <c r="C529" s="11">
        <v>105097.05</v>
      </c>
      <c r="D529" s="10" t="str">
        <f>HYPERLINK("http://www.usrc.it/AppRendiConta/det_788_20171204.pdf","DETERMINA N. 788 DEL 04/12/2017")</f>
        <v>DETERMINA N. 788 DEL 04/12/2017</v>
      </c>
      <c r="E529" s="5" t="s">
        <v>760</v>
      </c>
      <c r="F529" s="8" t="s">
        <v>12</v>
      </c>
      <c r="G529" s="8" t="s">
        <v>206</v>
      </c>
      <c r="H529" s="9"/>
      <c r="I529" s="9"/>
      <c r="J529" s="9"/>
      <c r="K529" s="9"/>
      <c r="L529" s="9"/>
      <c r="M529" s="9"/>
      <c r="N529" s="9"/>
      <c r="O529" s="9"/>
      <c r="P529" s="9"/>
    </row>
    <row r="530" ht="30.0" customHeight="1">
      <c r="A530" s="4" t="s">
        <v>113</v>
      </c>
      <c r="B530" s="5" t="s">
        <v>114</v>
      </c>
      <c r="C530" s="11">
        <v>50380.67</v>
      </c>
      <c r="D530" s="10" t="str">
        <f>HYPERLINK("http://www.usrc.it/AppRendiConta/det_789_20171204.pdf","DETERMINA N. 789 DEL 04/12/2017")</f>
        <v>DETERMINA N. 789 DEL 04/12/2017</v>
      </c>
      <c r="E530" s="5" t="s">
        <v>761</v>
      </c>
      <c r="F530" s="8" t="s">
        <v>12</v>
      </c>
      <c r="G530" s="8" t="s">
        <v>206</v>
      </c>
      <c r="H530" s="9"/>
      <c r="I530" s="9"/>
      <c r="J530" s="9"/>
      <c r="K530" s="9"/>
      <c r="L530" s="9"/>
      <c r="M530" s="9"/>
      <c r="N530" s="9"/>
      <c r="O530" s="9"/>
      <c r="P530" s="9"/>
    </row>
    <row r="531" ht="30.0" customHeight="1">
      <c r="A531" s="4" t="s">
        <v>18</v>
      </c>
      <c r="B531" s="5" t="s">
        <v>19</v>
      </c>
      <c r="C531" s="11">
        <v>226188.31</v>
      </c>
      <c r="D531" s="10" t="str">
        <f>HYPERLINK("http://www.usrc.it/AppRendiConta/det_790_20171204.pdf","DETERMINA N. 790 DEL 04/12/2017")</f>
        <v>DETERMINA N. 790 DEL 04/12/2017</v>
      </c>
      <c r="E531" s="5" t="s">
        <v>762</v>
      </c>
      <c r="F531" s="8" t="s">
        <v>12</v>
      </c>
      <c r="G531" s="8" t="s">
        <v>24</v>
      </c>
      <c r="H531" s="9"/>
      <c r="I531" s="9"/>
      <c r="J531" s="9"/>
      <c r="K531" s="9"/>
      <c r="L531" s="9"/>
      <c r="M531" s="9"/>
      <c r="N531" s="9"/>
      <c r="O531" s="9"/>
      <c r="P531" s="9"/>
    </row>
    <row r="532" ht="30.0" customHeight="1">
      <c r="A532" s="4" t="s">
        <v>256</v>
      </c>
      <c r="B532" s="5" t="s">
        <v>257</v>
      </c>
      <c r="C532" s="11">
        <v>18802.56</v>
      </c>
      <c r="D532" s="10" t="str">
        <f>HYPERLINK("http://www.usrc.it/AppRendiConta/det_791_20171204.pdf","DETERMINA N. 791 DEL 04/12/2017")</f>
        <v>DETERMINA N. 791 DEL 04/12/2017</v>
      </c>
      <c r="E532" s="5" t="s">
        <v>763</v>
      </c>
      <c r="F532" s="8" t="s">
        <v>12</v>
      </c>
      <c r="G532" s="8" t="s">
        <v>366</v>
      </c>
      <c r="H532" s="9"/>
      <c r="I532" s="9"/>
      <c r="J532" s="9"/>
      <c r="K532" s="9"/>
      <c r="L532" s="9"/>
      <c r="M532" s="9"/>
      <c r="N532" s="9"/>
      <c r="O532" s="9"/>
      <c r="P532" s="9"/>
    </row>
    <row r="533" ht="30.0" customHeight="1">
      <c r="A533" s="4" t="s">
        <v>21</v>
      </c>
      <c r="B533" s="5" t="s">
        <v>22</v>
      </c>
      <c r="C533" s="11">
        <v>36100.99</v>
      </c>
      <c r="D533" s="10" t="str">
        <f>HYPERLINK("http://www.usrc.it/AppRendiConta/det_792_20171204.pdf","DETERMINA N. 792 DEL 04/12/2017")</f>
        <v>DETERMINA N. 792 DEL 04/12/2017</v>
      </c>
      <c r="E533" s="5" t="s">
        <v>764</v>
      </c>
      <c r="F533" s="8" t="s">
        <v>12</v>
      </c>
      <c r="G533" s="8" t="s">
        <v>24</v>
      </c>
      <c r="H533" s="9"/>
      <c r="I533" s="9"/>
      <c r="J533" s="9"/>
      <c r="K533" s="9"/>
      <c r="L533" s="9"/>
      <c r="M533" s="9"/>
      <c r="N533" s="9"/>
      <c r="O533" s="9"/>
      <c r="P533" s="9"/>
    </row>
    <row r="534" ht="30.0" customHeight="1">
      <c r="A534" s="4" t="s">
        <v>32</v>
      </c>
      <c r="B534" s="5" t="s">
        <v>33</v>
      </c>
      <c r="C534" s="11">
        <v>96247.9</v>
      </c>
      <c r="D534" s="10" t="str">
        <f>HYPERLINK("http://www.usrc.it/AppRendiConta/det_793_20171204.pdf","DETERMINA N. 793 DEL 04/12/2017")</f>
        <v>DETERMINA N. 793 DEL 04/12/2017</v>
      </c>
      <c r="E534" s="5" t="s">
        <v>765</v>
      </c>
      <c r="F534" s="8" t="s">
        <v>12</v>
      </c>
      <c r="G534" s="8" t="s">
        <v>24</v>
      </c>
      <c r="H534" s="9"/>
      <c r="I534" s="9"/>
      <c r="J534" s="9"/>
      <c r="K534" s="9"/>
      <c r="L534" s="9"/>
      <c r="M534" s="9"/>
      <c r="N534" s="9"/>
      <c r="O534" s="9"/>
      <c r="P534" s="9"/>
    </row>
    <row r="535" ht="30.0" customHeight="1">
      <c r="A535" s="4" t="s">
        <v>323</v>
      </c>
      <c r="B535" s="5" t="s">
        <v>324</v>
      </c>
      <c r="C535" s="11">
        <v>635588.14</v>
      </c>
      <c r="D535" s="10" t="str">
        <f>HYPERLINK("http://www.usrc.it/AppRendiConta/det_794_20171204.pdf","DETERMINA N. 794 DEL 04/12/2017")</f>
        <v>DETERMINA N. 794 DEL 04/12/2017</v>
      </c>
      <c r="E535" s="5" t="s">
        <v>766</v>
      </c>
      <c r="F535" s="8" t="s">
        <v>12</v>
      </c>
      <c r="G535" s="8" t="s">
        <v>58</v>
      </c>
      <c r="H535" s="9"/>
      <c r="I535" s="9"/>
      <c r="J535" s="9"/>
      <c r="K535" s="9"/>
      <c r="L535" s="9"/>
      <c r="M535" s="9"/>
      <c r="N535" s="9"/>
      <c r="O535" s="9"/>
      <c r="P535" s="9"/>
    </row>
    <row r="536" ht="30.0" customHeight="1">
      <c r="A536" s="4" t="s">
        <v>190</v>
      </c>
      <c r="B536" s="5" t="s">
        <v>191</v>
      </c>
      <c r="C536" s="11">
        <v>30428.13</v>
      </c>
      <c r="D536" s="10" t="str">
        <f>HYPERLINK("http://www.usrc.it/AppRendiConta/det_795_20171204.pdf","DETERMINA N. 795 DEL 04/12/2017")</f>
        <v>DETERMINA N. 795 DEL 04/12/2017</v>
      </c>
      <c r="E536" s="5" t="s">
        <v>767</v>
      </c>
      <c r="F536" s="8" t="s">
        <v>12</v>
      </c>
      <c r="G536" s="8" t="s">
        <v>663</v>
      </c>
      <c r="H536" s="9"/>
      <c r="I536" s="9"/>
      <c r="J536" s="9"/>
      <c r="K536" s="9"/>
      <c r="L536" s="9"/>
      <c r="M536" s="9"/>
      <c r="N536" s="9"/>
      <c r="O536" s="9"/>
      <c r="P536" s="9"/>
    </row>
    <row r="537" ht="30.0" customHeight="1">
      <c r="A537" s="4" t="s">
        <v>605</v>
      </c>
      <c r="B537" s="5" t="s">
        <v>606</v>
      </c>
      <c r="C537" s="11">
        <v>10862.92</v>
      </c>
      <c r="D537" s="10" t="str">
        <f>HYPERLINK("http://www.usrc.it/AppRendiConta/det_796_20171204.pdf","DETERMINA N. 796 DEL 04/12/2017")</f>
        <v>DETERMINA N. 796 DEL 04/12/2017</v>
      </c>
      <c r="E537" s="5" t="s">
        <v>768</v>
      </c>
      <c r="F537" s="8" t="s">
        <v>12</v>
      </c>
      <c r="G537" s="8" t="s">
        <v>228</v>
      </c>
      <c r="H537" s="9"/>
      <c r="I537" s="9"/>
      <c r="J537" s="9"/>
      <c r="K537" s="9"/>
      <c r="L537" s="9"/>
      <c r="M537" s="9"/>
      <c r="N537" s="9"/>
      <c r="O537" s="9"/>
      <c r="P537" s="9"/>
    </row>
    <row r="538" ht="30.0" customHeight="1">
      <c r="A538" s="4" t="s">
        <v>32</v>
      </c>
      <c r="B538" s="5" t="s">
        <v>33</v>
      </c>
      <c r="C538" s="11">
        <v>9426.98</v>
      </c>
      <c r="D538" s="10" t="str">
        <f>HYPERLINK("http://www.usrc.it/AppRendiConta/det_797_20171204.pdf","DETERMINA N. 797 DEL 04/12/2017")</f>
        <v>DETERMINA N. 797 DEL 04/12/2017</v>
      </c>
      <c r="E538" s="5" t="s">
        <v>769</v>
      </c>
      <c r="F538" s="8" t="s">
        <v>12</v>
      </c>
      <c r="G538" s="8" t="s">
        <v>228</v>
      </c>
      <c r="H538" s="9"/>
      <c r="I538" s="9"/>
      <c r="J538" s="9"/>
      <c r="K538" s="9"/>
      <c r="L538" s="9"/>
      <c r="M538" s="9"/>
      <c r="N538" s="9"/>
      <c r="O538" s="9"/>
      <c r="P538" s="9"/>
    </row>
    <row r="539" ht="30.0" customHeight="1">
      <c r="A539" s="4" t="s">
        <v>32</v>
      </c>
      <c r="B539" s="5" t="s">
        <v>33</v>
      </c>
      <c r="C539" s="11">
        <v>13200.0</v>
      </c>
      <c r="D539" s="10" t="str">
        <f>HYPERLINK("http://www.usrc.it/AppRendiConta/det_798_20171204.pdf","DETERMINA N. 798 DEL 04/12/2017")</f>
        <v>DETERMINA N. 798 DEL 04/12/2017</v>
      </c>
      <c r="E539" s="5" t="s">
        <v>770</v>
      </c>
      <c r="F539" s="8" t="s">
        <v>12</v>
      </c>
      <c r="G539" s="8" t="s">
        <v>228</v>
      </c>
      <c r="H539" s="9"/>
      <c r="I539" s="9"/>
      <c r="J539" s="9"/>
      <c r="K539" s="9"/>
      <c r="L539" s="9"/>
      <c r="M539" s="9"/>
      <c r="N539" s="9"/>
      <c r="O539" s="9"/>
      <c r="P539" s="9"/>
    </row>
    <row r="540" ht="30.0" customHeight="1">
      <c r="A540" s="4" t="s">
        <v>256</v>
      </c>
      <c r="B540" s="5" t="s">
        <v>257</v>
      </c>
      <c r="C540" s="11">
        <v>2995.19</v>
      </c>
      <c r="D540" s="10" t="str">
        <f>HYPERLINK("http://www.usrc.it/AppRendiConta/det_799_20171204.pdf","DETERMINA N. 799 DEL 04/12/2017")</f>
        <v>DETERMINA N. 799 DEL 04/12/2017</v>
      </c>
      <c r="E540" s="5" t="s">
        <v>771</v>
      </c>
      <c r="F540" s="8" t="s">
        <v>12</v>
      </c>
      <c r="G540" s="8" t="s">
        <v>24</v>
      </c>
      <c r="H540" s="9"/>
      <c r="I540" s="9"/>
      <c r="J540" s="9"/>
      <c r="K540" s="9"/>
      <c r="L540" s="9"/>
      <c r="M540" s="9"/>
      <c r="N540" s="9"/>
      <c r="O540" s="9"/>
      <c r="P540" s="9"/>
    </row>
    <row r="541" ht="30.0" customHeight="1">
      <c r="A541" s="4" t="s">
        <v>159</v>
      </c>
      <c r="B541" s="5" t="s">
        <v>160</v>
      </c>
      <c r="C541" s="11">
        <v>39893.97</v>
      </c>
      <c r="D541" s="10" t="str">
        <f>HYPERLINK("http://www.usrc.it/AppRendiConta/det_800_20171204.pdf","DETERMINA N. 800 DEL 04/12/2017")</f>
        <v>DETERMINA N. 800 DEL 04/12/2017</v>
      </c>
      <c r="E541" s="5" t="s">
        <v>772</v>
      </c>
      <c r="F541" s="8" t="s">
        <v>12</v>
      </c>
      <c r="G541" s="8" t="s">
        <v>663</v>
      </c>
      <c r="H541" s="9"/>
      <c r="I541" s="9"/>
      <c r="J541" s="9"/>
      <c r="K541" s="9"/>
      <c r="L541" s="9"/>
      <c r="M541" s="9"/>
      <c r="N541" s="9"/>
      <c r="O541" s="9"/>
      <c r="P541" s="9"/>
    </row>
    <row r="542" ht="30.0" customHeight="1">
      <c r="A542" s="4" t="s">
        <v>32</v>
      </c>
      <c r="B542" s="5" t="s">
        <v>33</v>
      </c>
      <c r="C542" s="11">
        <v>169730.0</v>
      </c>
      <c r="D542" s="10" t="str">
        <f>HYPERLINK("http://www.usrc.it/AppRendiConta/det_801_20171204.pdf","DETERMINA N. 801 DEL 04/12/2017")</f>
        <v>DETERMINA N. 801 DEL 04/12/2017</v>
      </c>
      <c r="E542" s="5" t="s">
        <v>773</v>
      </c>
      <c r="F542" s="8" t="s">
        <v>12</v>
      </c>
      <c r="G542" s="8" t="s">
        <v>24</v>
      </c>
      <c r="H542" s="9"/>
      <c r="I542" s="9"/>
      <c r="J542" s="9"/>
      <c r="K542" s="9"/>
      <c r="L542" s="9"/>
      <c r="M542" s="9"/>
      <c r="N542" s="9"/>
      <c r="O542" s="9"/>
      <c r="P542" s="9"/>
    </row>
    <row r="543" ht="30.0" customHeight="1">
      <c r="A543" s="4" t="s">
        <v>625</v>
      </c>
      <c r="B543" s="5" t="s">
        <v>626</v>
      </c>
      <c r="C543" s="11">
        <v>560960.0</v>
      </c>
      <c r="D543" s="10" t="str">
        <f>HYPERLINK("http://www.usrc.it/AppRendiConta/det_810_20171204.pdf","DETERMINA N. 810 DEL 04/12/2017")</f>
        <v>DETERMINA N. 810 DEL 04/12/2017</v>
      </c>
      <c r="E543" s="5" t="s">
        <v>774</v>
      </c>
      <c r="F543" s="8" t="s">
        <v>12</v>
      </c>
      <c r="G543" s="8" t="s">
        <v>58</v>
      </c>
      <c r="H543" s="9"/>
      <c r="I543" s="9"/>
      <c r="J543" s="9"/>
      <c r="K543" s="9"/>
      <c r="L543" s="9"/>
      <c r="M543" s="9"/>
      <c r="N543" s="9"/>
      <c r="O543" s="9"/>
      <c r="P543" s="9"/>
    </row>
    <row r="544" ht="30.0" customHeight="1">
      <c r="A544" s="4" t="s">
        <v>201</v>
      </c>
      <c r="B544" s="5" t="s">
        <v>202</v>
      </c>
      <c r="C544" s="11">
        <v>805891.67</v>
      </c>
      <c r="D544" s="10" t="str">
        <f>HYPERLINK("http://www.usrc.it/AppRendiConta/det_813_20171211.pdf","DETERMINA N. 813 DEL 11/12/2017")</f>
        <v>DETERMINA N. 813 DEL 11/12/2017</v>
      </c>
      <c r="E544" s="5" t="s">
        <v>775</v>
      </c>
      <c r="F544" s="8" t="s">
        <v>12</v>
      </c>
      <c r="G544" s="8" t="s">
        <v>13</v>
      </c>
      <c r="H544" s="9"/>
      <c r="I544" s="9"/>
      <c r="J544" s="9"/>
      <c r="K544" s="9"/>
      <c r="L544" s="9"/>
      <c r="M544" s="9"/>
      <c r="N544" s="9"/>
      <c r="O544" s="9"/>
      <c r="P544" s="9"/>
    </row>
    <row r="545" ht="30.0" customHeight="1">
      <c r="A545" s="4" t="s">
        <v>72</v>
      </c>
      <c r="B545" s="5" t="s">
        <v>73</v>
      </c>
      <c r="C545" s="11">
        <v>639064.62</v>
      </c>
      <c r="D545" s="10" t="str">
        <f>HYPERLINK("http://www.usrc.it/AppRendiConta/det_815_20171211.pdf","DETERMINA N. 815 DEL 11/12/2017")</f>
        <v>DETERMINA N. 815 DEL 11/12/2017</v>
      </c>
      <c r="E545" s="5" t="s">
        <v>528</v>
      </c>
      <c r="F545" s="8" t="s">
        <v>12</v>
      </c>
      <c r="G545" s="8" t="s">
        <v>13</v>
      </c>
      <c r="H545" s="9"/>
      <c r="I545" s="9"/>
      <c r="J545" s="9"/>
      <c r="K545" s="9"/>
      <c r="L545" s="9"/>
      <c r="M545" s="9"/>
      <c r="N545" s="9"/>
      <c r="O545" s="9"/>
      <c r="P545" s="9"/>
    </row>
    <row r="546" ht="30.0" customHeight="1">
      <c r="A546" s="4" t="s">
        <v>245</v>
      </c>
      <c r="B546" s="5" t="s">
        <v>246</v>
      </c>
      <c r="C546" s="11">
        <v>3632828.41</v>
      </c>
      <c r="D546" s="10" t="str">
        <f>HYPERLINK("http://www.usrc.it/AppRendiConta/det_818_20171211.pdf","DETERMINA N. 818 DEL 11/12/2017")</f>
        <v>DETERMINA N. 818 DEL 11/12/2017</v>
      </c>
      <c r="E546" s="5" t="s">
        <v>776</v>
      </c>
      <c r="F546" s="8" t="s">
        <v>12</v>
      </c>
      <c r="G546" s="8" t="s">
        <v>102</v>
      </c>
      <c r="H546" s="9"/>
      <c r="I546" s="9"/>
      <c r="J546" s="9"/>
      <c r="K546" s="9"/>
      <c r="L546" s="9"/>
      <c r="M546" s="9"/>
      <c r="N546" s="9"/>
      <c r="O546" s="9"/>
      <c r="P546" s="9"/>
    </row>
    <row r="547" ht="30.0" customHeight="1">
      <c r="A547" s="4" t="s">
        <v>185</v>
      </c>
      <c r="B547" s="5" t="s">
        <v>186</v>
      </c>
      <c r="C547" s="11">
        <v>1672128.39</v>
      </c>
      <c r="D547" s="10" t="str">
        <f>HYPERLINK("http://www.usrc.it/AppRendiConta/det_819_20171211.pdf","DETERMINA N. 819 DEL 11/12/2017")</f>
        <v>DETERMINA N. 819 DEL 11/12/2017</v>
      </c>
      <c r="E547" s="5" t="s">
        <v>777</v>
      </c>
      <c r="F547" s="8" t="s">
        <v>12</v>
      </c>
      <c r="G547" s="8" t="s">
        <v>778</v>
      </c>
      <c r="H547" s="9"/>
      <c r="I547" s="9"/>
      <c r="J547" s="9"/>
      <c r="K547" s="9"/>
      <c r="L547" s="9"/>
      <c r="M547" s="9"/>
      <c r="N547" s="9"/>
      <c r="O547" s="9"/>
      <c r="P547" s="9"/>
    </row>
    <row r="548" ht="30.0" customHeight="1">
      <c r="A548" s="4" t="s">
        <v>97</v>
      </c>
      <c r="B548" s="5" t="s">
        <v>98</v>
      </c>
      <c r="C548" s="11">
        <v>69228.06</v>
      </c>
      <c r="D548" s="10" t="str">
        <f>HYPERLINK("http://www.usrc.it/AppRendiConta/det_820_20171211.pdf","DETERMINA N. 820 DEL 11/12/2017")</f>
        <v>DETERMINA N. 820 DEL 11/12/2017</v>
      </c>
      <c r="E548" s="5" t="s">
        <v>195</v>
      </c>
      <c r="F548" s="8" t="s">
        <v>12</v>
      </c>
      <c r="G548" s="5" t="s">
        <v>24</v>
      </c>
      <c r="H548" s="9"/>
      <c r="I548" s="9"/>
      <c r="J548" s="9"/>
      <c r="K548" s="9"/>
      <c r="L548" s="9"/>
      <c r="M548" s="9"/>
      <c r="N548" s="9"/>
      <c r="O548" s="9"/>
      <c r="P548" s="9"/>
    </row>
    <row r="549" ht="30.0" customHeight="1">
      <c r="A549" s="4" t="s">
        <v>779</v>
      </c>
      <c r="B549" s="5" t="s">
        <v>780</v>
      </c>
      <c r="C549" s="11">
        <v>210000.0</v>
      </c>
      <c r="D549" s="10" t="str">
        <f>HYPERLINK("http://www.usrc.it/AppRendiConta/det_821_20171211.pdf","DETERMINA N. 821 DEL 11/12/2017")</f>
        <v>DETERMINA N. 821 DEL 11/12/2017</v>
      </c>
      <c r="E549" s="5" t="s">
        <v>781</v>
      </c>
      <c r="F549" s="8" t="s">
        <v>12</v>
      </c>
      <c r="G549" s="5" t="s">
        <v>58</v>
      </c>
      <c r="H549" s="9"/>
      <c r="I549" s="9"/>
      <c r="J549" s="9"/>
      <c r="K549" s="9"/>
      <c r="L549" s="9"/>
      <c r="M549" s="9"/>
      <c r="N549" s="9"/>
      <c r="O549" s="9"/>
      <c r="P549" s="9"/>
    </row>
    <row r="550" ht="30.0" customHeight="1">
      <c r="A550" s="4" t="s">
        <v>679</v>
      </c>
      <c r="B550" s="5" t="s">
        <v>680</v>
      </c>
      <c r="C550" s="11">
        <v>21947.61</v>
      </c>
      <c r="D550" s="10" t="str">
        <f>HYPERLINK("http://www.usrc.it/AppRendiConta/det_822_20171211.pdf","DETERMINA N. 822 DEL 11/12/2017")</f>
        <v>DETERMINA N. 822 DEL 11/12/2017</v>
      </c>
      <c r="E550" s="5" t="s">
        <v>782</v>
      </c>
      <c r="F550" s="5" t="s">
        <v>12</v>
      </c>
      <c r="G550" s="5" t="s">
        <v>58</v>
      </c>
      <c r="H550" s="9"/>
      <c r="I550" s="9"/>
      <c r="J550" s="9"/>
      <c r="K550" s="9"/>
      <c r="L550" s="9"/>
      <c r="M550" s="9"/>
      <c r="N550" s="9"/>
      <c r="O550" s="9"/>
      <c r="P550" s="9"/>
    </row>
    <row r="551" ht="30.0" customHeight="1">
      <c r="A551" s="4" t="s">
        <v>159</v>
      </c>
      <c r="B551" s="5" t="s">
        <v>160</v>
      </c>
      <c r="C551" s="11">
        <v>56111.0</v>
      </c>
      <c r="D551" s="10" t="str">
        <f>HYPERLINK("http://www.usrc.it/AppRendiConta/det_823_20171211.pdf","DETERMINA N. 823 DEL 11/12/2017")</f>
        <v>DETERMINA N. 823 DEL 11/12/2017</v>
      </c>
      <c r="E551" s="5" t="s">
        <v>783</v>
      </c>
      <c r="F551" s="5" t="s">
        <v>12</v>
      </c>
      <c r="G551" s="5" t="s">
        <v>24</v>
      </c>
      <c r="H551" s="9"/>
      <c r="I551" s="9"/>
      <c r="J551" s="9"/>
      <c r="K551" s="9"/>
      <c r="L551" s="9"/>
      <c r="M551" s="9"/>
      <c r="N551" s="9"/>
      <c r="O551" s="9"/>
      <c r="P551" s="9"/>
    </row>
    <row r="552" ht="30.0" customHeight="1">
      <c r="A552" s="4" t="s">
        <v>159</v>
      </c>
      <c r="B552" s="5" t="s">
        <v>160</v>
      </c>
      <c r="C552" s="11">
        <v>16000.0</v>
      </c>
      <c r="D552" s="10" t="str">
        <f>HYPERLINK("http://www.usrc.it/AppRendiConta/det_824_20171211.pdf","DETERMINA N. 824 DEL 11/12/2017")</f>
        <v>DETERMINA N. 824 DEL 11/12/2017</v>
      </c>
      <c r="E552" s="5" t="s">
        <v>784</v>
      </c>
      <c r="F552" s="5" t="s">
        <v>12</v>
      </c>
      <c r="G552" s="5" t="s">
        <v>663</v>
      </c>
      <c r="H552" s="9"/>
      <c r="I552" s="9"/>
      <c r="J552" s="9"/>
      <c r="K552" s="9"/>
      <c r="L552" s="9"/>
      <c r="M552" s="9"/>
      <c r="N552" s="9"/>
      <c r="O552" s="9"/>
      <c r="P552" s="9"/>
    </row>
    <row r="553" ht="30.0" customHeight="1">
      <c r="A553" s="4" t="s">
        <v>159</v>
      </c>
      <c r="B553" s="5" t="s">
        <v>160</v>
      </c>
      <c r="C553" s="11">
        <v>36131.99</v>
      </c>
      <c r="D553" s="10" t="str">
        <f>HYPERLINK("http://www.usrc.it/AppRendiConta/det_825_20171211.pdf","DETERMINA N. 825 DEL 11/12/2017")</f>
        <v>DETERMINA N. 825 DEL 11/12/2017</v>
      </c>
      <c r="E553" s="5" t="s">
        <v>785</v>
      </c>
      <c r="F553" s="8" t="s">
        <v>12</v>
      </c>
      <c r="G553" s="5" t="s">
        <v>228</v>
      </c>
      <c r="H553" s="9"/>
      <c r="I553" s="9"/>
      <c r="J553" s="9"/>
      <c r="K553" s="9"/>
      <c r="L553" s="9"/>
      <c r="M553" s="9"/>
      <c r="N553" s="9"/>
      <c r="O553" s="9"/>
      <c r="P553" s="9"/>
    </row>
    <row r="554" ht="30.0" customHeight="1">
      <c r="A554" s="4" t="s">
        <v>185</v>
      </c>
      <c r="B554" s="5" t="s">
        <v>186</v>
      </c>
      <c r="C554" s="11">
        <v>34951.8</v>
      </c>
      <c r="D554" s="10" t="str">
        <f>HYPERLINK("http://www.usrc.it/AppRendiConta/det_826_20171211.pdf","DETERMINA N. 826 DEL 11/12/2017")</f>
        <v>DETERMINA N. 826 DEL 11/12/2017</v>
      </c>
      <c r="E554" s="5" t="s">
        <v>786</v>
      </c>
      <c r="F554" s="5" t="s">
        <v>12</v>
      </c>
      <c r="G554" s="5" t="s">
        <v>663</v>
      </c>
      <c r="H554" s="9"/>
      <c r="I554" s="9"/>
      <c r="J554" s="9"/>
      <c r="K554" s="9"/>
      <c r="L554" s="9"/>
      <c r="M554" s="9"/>
      <c r="N554" s="9"/>
      <c r="O554" s="9"/>
      <c r="P554" s="9"/>
    </row>
    <row r="555" ht="30.0" customHeight="1">
      <c r="A555" s="4" t="s">
        <v>276</v>
      </c>
      <c r="B555" s="5" t="s">
        <v>277</v>
      </c>
      <c r="C555" s="11">
        <v>1834597.85</v>
      </c>
      <c r="D555" s="10" t="str">
        <f>HYPERLINK("http://www.usrc.it/AppRendiConta/det_827_20171214.pdf","DETERMINA N. 827 DEL 14/12/2017")</f>
        <v>DETERMINA N. 827 DEL 14/12/2017</v>
      </c>
      <c r="E555" s="5" t="s">
        <v>321</v>
      </c>
      <c r="F555" s="5" t="s">
        <v>12</v>
      </c>
      <c r="G555" s="5" t="s">
        <v>13</v>
      </c>
      <c r="H555" s="9"/>
      <c r="I555" s="9"/>
      <c r="J555" s="9"/>
      <c r="K555" s="9"/>
      <c r="L555" s="9"/>
      <c r="M555" s="9"/>
      <c r="N555" s="9"/>
      <c r="O555" s="9"/>
      <c r="P555" s="9"/>
    </row>
    <row r="556" ht="30.0" customHeight="1">
      <c r="A556" s="4" t="s">
        <v>39</v>
      </c>
      <c r="B556" s="5" t="s">
        <v>40</v>
      </c>
      <c r="C556" s="11">
        <v>2516216.04</v>
      </c>
      <c r="D556" s="10" t="str">
        <f>HYPERLINK("http://www.usrc.it/AppRendiConta/det_828_20171214.pdf","DETERMINA N. 828 DEL 14/12/2017")</f>
        <v>DETERMINA N. 828 DEL 14/12/2017</v>
      </c>
      <c r="E556" s="5" t="s">
        <v>787</v>
      </c>
      <c r="F556" s="5" t="s">
        <v>12</v>
      </c>
      <c r="G556" s="5" t="s">
        <v>602</v>
      </c>
      <c r="H556" s="9"/>
      <c r="I556" s="9"/>
      <c r="J556" s="9"/>
      <c r="K556" s="9"/>
      <c r="L556" s="9"/>
      <c r="M556" s="9"/>
      <c r="N556" s="9"/>
      <c r="O556" s="9"/>
      <c r="P556" s="9"/>
    </row>
    <row r="557" ht="30.0" customHeight="1">
      <c r="A557" s="4" t="s">
        <v>14</v>
      </c>
      <c r="B557" s="5" t="s">
        <v>15</v>
      </c>
      <c r="C557" s="11">
        <v>3053093.43</v>
      </c>
      <c r="D557" s="10" t="str">
        <f>HYPERLINK("http://www.usrc.it/AppRendiConta/det_829_20171214.pdf","DETERMINA N. 829 DEL 14/12/2017")</f>
        <v>DETERMINA N. 829 DEL 14/12/2017</v>
      </c>
      <c r="E557" s="5" t="s">
        <v>665</v>
      </c>
      <c r="F557" s="5" t="s">
        <v>12</v>
      </c>
      <c r="G557" s="5" t="s">
        <v>13</v>
      </c>
      <c r="H557" s="9"/>
      <c r="I557" s="9"/>
      <c r="J557" s="9"/>
      <c r="K557" s="9"/>
      <c r="L557" s="9"/>
      <c r="M557" s="9"/>
      <c r="N557" s="9"/>
      <c r="O557" s="9"/>
      <c r="P557" s="9"/>
    </row>
    <row r="558" ht="30.0" customHeight="1">
      <c r="A558" s="4" t="s">
        <v>515</v>
      </c>
      <c r="B558" s="5" t="s">
        <v>516</v>
      </c>
      <c r="C558" s="11">
        <v>80908.67</v>
      </c>
      <c r="D558" s="10" t="str">
        <f>HYPERLINK("http://www.usrc.it/AppRendiConta/det_834_20171218.pdf","DETERMINA N. 834 DEL 18/12/2017")</f>
        <v>DETERMINA N. 834 DEL 18/12/2017</v>
      </c>
      <c r="E558" s="5" t="s">
        <v>788</v>
      </c>
      <c r="F558" s="8" t="s">
        <v>12</v>
      </c>
      <c r="G558" s="8" t="s">
        <v>58</v>
      </c>
      <c r="H558" s="9"/>
      <c r="I558" s="9"/>
      <c r="J558" s="9"/>
      <c r="K558" s="9"/>
      <c r="L558" s="9"/>
      <c r="M558" s="9"/>
      <c r="N558" s="9"/>
      <c r="O558" s="9"/>
      <c r="P558" s="9"/>
    </row>
    <row r="559" ht="30.0" customHeight="1">
      <c r="A559" s="4" t="s">
        <v>145</v>
      </c>
      <c r="B559" s="5" t="s">
        <v>146</v>
      </c>
      <c r="C559" s="11">
        <v>409212.3</v>
      </c>
      <c r="D559" s="10" t="str">
        <f>HYPERLINK("http://www.usrc.it/AppRendiConta/det_836_20171218.pdf","DETERMINA N. 836 DEL 18/12/2017")</f>
        <v>DETERMINA N. 836 DEL 18/12/2017</v>
      </c>
      <c r="E559" s="8" t="s">
        <v>789</v>
      </c>
      <c r="F559" s="8" t="s">
        <v>12</v>
      </c>
      <c r="G559" s="8" t="s">
        <v>58</v>
      </c>
      <c r="H559" s="9"/>
      <c r="I559" s="9"/>
      <c r="J559" s="9"/>
      <c r="K559" s="9"/>
      <c r="L559" s="9"/>
      <c r="M559" s="9"/>
      <c r="N559" s="9"/>
      <c r="O559" s="9"/>
      <c r="P559" s="9"/>
    </row>
    <row r="560" ht="30.0" customHeight="1">
      <c r="A560" s="4" t="s">
        <v>256</v>
      </c>
      <c r="B560" s="5" t="s">
        <v>257</v>
      </c>
      <c r="C560" s="11">
        <v>2199408.42</v>
      </c>
      <c r="D560" s="10" t="str">
        <f>HYPERLINK("http://www.usrc.it/AppRendiConta/det_837_20171218.pdf","DETERMINA N. 837 DEL 18/12/2017")</f>
        <v>DETERMINA N. 837 DEL 18/12/2017</v>
      </c>
      <c r="E560" s="8" t="s">
        <v>433</v>
      </c>
      <c r="F560" s="8" t="s">
        <v>12</v>
      </c>
      <c r="G560" s="8" t="s">
        <v>13</v>
      </c>
      <c r="H560" s="9"/>
      <c r="I560" s="9"/>
      <c r="J560" s="9"/>
      <c r="K560" s="9"/>
      <c r="L560" s="9"/>
      <c r="M560" s="9"/>
      <c r="N560" s="9"/>
      <c r="O560" s="9"/>
      <c r="P560" s="9"/>
    </row>
    <row r="561" ht="30.0" customHeight="1">
      <c r="A561" s="4" t="s">
        <v>131</v>
      </c>
      <c r="B561" s="5" t="s">
        <v>790</v>
      </c>
      <c r="C561" s="11">
        <v>1313511.35</v>
      </c>
      <c r="D561" s="10" t="str">
        <f>HYPERLINK("http://www.usrc.it/AppRendiConta/det_849_20171219.pdf","DETERMINA N. 849 DEL 19/12/2017")</f>
        <v>DETERMINA N. 849 DEL 19/12/2017</v>
      </c>
      <c r="E561" s="5" t="s">
        <v>791</v>
      </c>
      <c r="F561" s="8" t="s">
        <v>12</v>
      </c>
      <c r="G561" s="8" t="s">
        <v>204</v>
      </c>
      <c r="H561" s="9"/>
      <c r="I561" s="9"/>
      <c r="J561" s="9"/>
      <c r="K561" s="9"/>
      <c r="L561" s="9"/>
      <c r="M561" s="9"/>
      <c r="N561" s="9"/>
      <c r="O561" s="9"/>
      <c r="P561" s="9"/>
    </row>
    <row r="562" ht="30.0" customHeight="1">
      <c r="A562" s="4" t="s">
        <v>93</v>
      </c>
      <c r="B562" s="8" t="s">
        <v>94</v>
      </c>
      <c r="C562" s="11">
        <v>2558950.45</v>
      </c>
      <c r="D562" s="10" t="str">
        <f>HYPERLINK("http://www.usrc.it/AppRendiConta/det_851_20171219.pdf","DETERMINA N. 851 DEL 19/12/2017")</f>
        <v>DETERMINA N. 851 DEL 19/12/2017</v>
      </c>
      <c r="E562" s="8" t="s">
        <v>792</v>
      </c>
      <c r="F562" s="8" t="s">
        <v>12</v>
      </c>
      <c r="G562" s="8" t="s">
        <v>793</v>
      </c>
      <c r="H562" s="9"/>
      <c r="I562" s="9"/>
      <c r="J562" s="9"/>
      <c r="K562" s="9"/>
      <c r="L562" s="9"/>
      <c r="M562" s="9"/>
      <c r="N562" s="9"/>
      <c r="O562" s="9"/>
      <c r="P562" s="9"/>
    </row>
    <row r="563" ht="30.0" customHeight="1">
      <c r="A563" s="4" t="s">
        <v>32</v>
      </c>
      <c r="B563" s="5" t="s">
        <v>33</v>
      </c>
      <c r="C563" s="11">
        <v>14499.88</v>
      </c>
      <c r="D563" s="10" t="str">
        <f>HYPERLINK("http://www.usrc.it/AppRendiConta/det_852_20171219.pdf","DETERMINA N. 852 DEL 19/12/2017")</f>
        <v>DETERMINA N. 852 DEL 19/12/2017</v>
      </c>
      <c r="E563" s="8" t="s">
        <v>794</v>
      </c>
      <c r="F563" s="8" t="s">
        <v>12</v>
      </c>
      <c r="G563" s="8" t="s">
        <v>58</v>
      </c>
      <c r="H563" s="9"/>
      <c r="I563" s="9"/>
      <c r="J563" s="9"/>
      <c r="K563" s="9"/>
      <c r="L563" s="9"/>
      <c r="M563" s="9"/>
      <c r="N563" s="9"/>
      <c r="O563" s="9"/>
      <c r="P563" s="9"/>
    </row>
    <row r="564" ht="30.0" customHeight="1">
      <c r="A564" s="4" t="s">
        <v>363</v>
      </c>
      <c r="B564" s="5" t="s">
        <v>364</v>
      </c>
      <c r="C564" s="11">
        <v>43045.66</v>
      </c>
      <c r="D564" s="10" t="str">
        <f>HYPERLINK("http://www.usrc.it/AppRendiConta/det_853_20171219.pdf","DETERMINA N. 853 DEL 19/12/2017")</f>
        <v>DETERMINA N. 853 DEL 19/12/2017</v>
      </c>
      <c r="E564" s="8" t="s">
        <v>795</v>
      </c>
      <c r="F564" s="8" t="s">
        <v>12</v>
      </c>
      <c r="G564" s="8" t="s">
        <v>366</v>
      </c>
      <c r="H564" s="9"/>
      <c r="I564" s="9"/>
      <c r="J564" s="9"/>
      <c r="K564" s="9"/>
      <c r="L564" s="9"/>
      <c r="M564" s="9"/>
      <c r="N564" s="9"/>
      <c r="O564" s="9"/>
      <c r="P564" s="9"/>
    </row>
    <row r="565" ht="30.0" customHeight="1">
      <c r="A565" s="4" t="s">
        <v>39</v>
      </c>
      <c r="B565" s="5" t="s">
        <v>40</v>
      </c>
      <c r="C565" s="11">
        <v>2684.0</v>
      </c>
      <c r="D565" s="10" t="str">
        <f>HYPERLINK("http://www.usrc.it/AppRendiConta/det_854_20171219.pdf","DETERMINA N. 854 DEL 19/12/2017")</f>
        <v>DETERMINA N. 854 DEL 19/12/2017</v>
      </c>
      <c r="E565" s="5" t="s">
        <v>796</v>
      </c>
      <c r="F565" s="8" t="s">
        <v>12</v>
      </c>
      <c r="G565" s="8" t="s">
        <v>24</v>
      </c>
      <c r="H565" s="9"/>
      <c r="I565" s="9"/>
      <c r="J565" s="9"/>
      <c r="K565" s="9"/>
      <c r="L565" s="9"/>
      <c r="M565" s="9"/>
      <c r="N565" s="9"/>
      <c r="O565" s="9"/>
      <c r="P565" s="9"/>
    </row>
    <row r="566" ht="30.0" customHeight="1">
      <c r="A566" s="4" t="s">
        <v>32</v>
      </c>
      <c r="B566" s="5" t="s">
        <v>33</v>
      </c>
      <c r="C566" s="11">
        <v>452.5</v>
      </c>
      <c r="D566" s="10" t="str">
        <f>HYPERLINK("http://www.usrc.it/AppRendiConta/det_855_20171219.pdf","DETERMINA N. 855 DEL 19/12/2017")</f>
        <v>DETERMINA N. 855 DEL 19/12/2017</v>
      </c>
      <c r="E566" s="5" t="s">
        <v>797</v>
      </c>
      <c r="F566" s="8" t="s">
        <v>12</v>
      </c>
      <c r="G566" s="8" t="s">
        <v>366</v>
      </c>
      <c r="H566" s="9"/>
      <c r="I566" s="9"/>
      <c r="J566" s="9"/>
      <c r="K566" s="9"/>
      <c r="L566" s="9"/>
      <c r="M566" s="9"/>
      <c r="N566" s="9"/>
      <c r="O566" s="9"/>
      <c r="P566" s="9"/>
    </row>
    <row r="567" ht="30.0" customHeight="1">
      <c r="A567" s="4" t="s">
        <v>605</v>
      </c>
      <c r="B567" s="5" t="s">
        <v>606</v>
      </c>
      <c r="C567" s="11">
        <v>12536.0</v>
      </c>
      <c r="D567" s="10" t="str">
        <f>HYPERLINK("http://www.usrc.it/AppRendiConta/det_857_20171221.pdf","DETERMINA N. 857 DEL 21/12/2017")</f>
        <v>DETERMINA N. 857 DEL 21/12/2017</v>
      </c>
      <c r="E567" s="5" t="s">
        <v>195</v>
      </c>
      <c r="F567" s="8" t="s">
        <v>12</v>
      </c>
      <c r="G567" s="8" t="s">
        <v>24</v>
      </c>
      <c r="H567" s="9"/>
      <c r="I567" s="9"/>
      <c r="J567" s="9"/>
      <c r="K567" s="9"/>
      <c r="L567" s="9"/>
      <c r="M567" s="9"/>
      <c r="N567" s="9"/>
      <c r="O567" s="9"/>
      <c r="P567" s="9"/>
    </row>
    <row r="568" ht="30.0" customHeight="1">
      <c r="A568" s="4" t="s">
        <v>87</v>
      </c>
      <c r="B568" s="5" t="s">
        <v>88</v>
      </c>
      <c r="C568" s="11">
        <v>87585.7</v>
      </c>
      <c r="D568" s="10" t="str">
        <f>HYPERLINK("http://www.usrc.it/AppRendiConta/det_858_20171221.pdf","DETERMINA N. 858 DEL 21/12/2017")</f>
        <v>DETERMINA N. 858 DEL 21/12/2017</v>
      </c>
      <c r="E568" s="5" t="s">
        <v>798</v>
      </c>
      <c r="F568" s="8" t="s">
        <v>12</v>
      </c>
      <c r="G568" s="8" t="s">
        <v>58</v>
      </c>
      <c r="H568" s="9"/>
      <c r="I568" s="9"/>
      <c r="J568" s="9"/>
      <c r="K568" s="9"/>
      <c r="L568" s="9"/>
      <c r="M568" s="9"/>
      <c r="N568" s="9"/>
      <c r="O568" s="9"/>
      <c r="P568" s="9"/>
    </row>
    <row r="569" ht="30.0" customHeight="1">
      <c r="A569" s="4" t="s">
        <v>799</v>
      </c>
      <c r="B569" s="5" t="s">
        <v>800</v>
      </c>
      <c r="C569" s="11">
        <v>37585.79</v>
      </c>
      <c r="D569" s="10" t="str">
        <f>HYPERLINK("http://www.usrc.it/AppRendiConta/det_859_20171221.pdf","DETERMINA N. 859 DEL 21/12/2017")</f>
        <v>DETERMINA N. 859 DEL 21/12/2017</v>
      </c>
      <c r="E569" s="5" t="s">
        <v>801</v>
      </c>
      <c r="F569" s="8" t="s">
        <v>12</v>
      </c>
      <c r="G569" s="8" t="s">
        <v>58</v>
      </c>
      <c r="H569" s="9"/>
      <c r="I569" s="9"/>
      <c r="J569" s="9"/>
      <c r="K569" s="9"/>
      <c r="L569" s="9"/>
      <c r="M569" s="9"/>
      <c r="N569" s="9"/>
      <c r="O569" s="9"/>
      <c r="P569" s="9"/>
    </row>
    <row r="570" ht="30.0" customHeight="1">
      <c r="A570" s="4" t="s">
        <v>29</v>
      </c>
      <c r="B570" s="5" t="s">
        <v>30</v>
      </c>
      <c r="C570" s="11">
        <v>218786.67</v>
      </c>
      <c r="D570" s="10" t="str">
        <f>HYPERLINK("http://www.usrc.it/AppRendiConta/det_860_20171221.pdf","DETERMINA N. 860 DEL 21/12/2017")</f>
        <v>DETERMINA N. 860 DEL 21/12/2017</v>
      </c>
      <c r="E570" s="8" t="s">
        <v>802</v>
      </c>
      <c r="F570" s="8" t="s">
        <v>12</v>
      </c>
      <c r="G570" s="8" t="s">
        <v>551</v>
      </c>
      <c r="H570" s="9"/>
      <c r="I570" s="9"/>
      <c r="J570" s="9"/>
      <c r="K570" s="9"/>
      <c r="L570" s="9"/>
      <c r="M570" s="9"/>
      <c r="N570" s="9"/>
      <c r="O570" s="9"/>
      <c r="P570" s="9"/>
    </row>
    <row r="571" ht="30.0" customHeight="1">
      <c r="A571" s="5"/>
      <c r="B571" s="5"/>
      <c r="C571" s="11"/>
      <c r="D571" s="5"/>
      <c r="E571" s="5"/>
      <c r="F571" s="8"/>
      <c r="G571" s="8"/>
      <c r="H571" s="9"/>
      <c r="I571" s="9"/>
      <c r="J571" s="9"/>
      <c r="K571" s="9"/>
      <c r="L571" s="9"/>
      <c r="M571" s="9"/>
      <c r="N571" s="9"/>
      <c r="O571" s="9"/>
      <c r="P571" s="9"/>
    </row>
    <row r="572" ht="30.0" customHeight="1">
      <c r="A572" s="5"/>
      <c r="B572" s="5"/>
      <c r="C572" s="11"/>
      <c r="D572" s="5"/>
      <c r="E572" s="5"/>
      <c r="F572" s="8"/>
      <c r="G572" s="8"/>
      <c r="H572" s="9"/>
      <c r="I572" s="9"/>
      <c r="J572" s="9"/>
      <c r="K572" s="9"/>
      <c r="L572" s="9"/>
      <c r="M572" s="9"/>
      <c r="N572" s="9"/>
      <c r="O572" s="9"/>
      <c r="P572" s="9"/>
    </row>
    <row r="573" ht="30.0" customHeight="1">
      <c r="A573" s="5"/>
      <c r="B573" s="5"/>
      <c r="C573" s="11"/>
      <c r="D573" s="5"/>
      <c r="E573" s="5"/>
      <c r="F573" s="8"/>
      <c r="G573" s="8"/>
      <c r="H573" s="9"/>
      <c r="I573" s="9"/>
      <c r="J573" s="9"/>
      <c r="K573" s="9"/>
      <c r="L573" s="9"/>
      <c r="M573" s="9"/>
      <c r="N573" s="9"/>
      <c r="O573" s="9"/>
      <c r="P573" s="9"/>
    </row>
    <row r="574" ht="30.0" customHeight="1">
      <c r="A574" s="5"/>
      <c r="B574" s="5"/>
      <c r="C574" s="11"/>
      <c r="D574" s="5"/>
      <c r="E574" s="5"/>
      <c r="F574" s="8"/>
      <c r="G574" s="8"/>
      <c r="H574" s="9"/>
      <c r="I574" s="9"/>
      <c r="J574" s="9"/>
      <c r="K574" s="9"/>
      <c r="L574" s="9"/>
      <c r="M574" s="9"/>
      <c r="N574" s="9"/>
      <c r="O574" s="9"/>
      <c r="P574" s="9"/>
    </row>
    <row r="575" ht="30.0" customHeight="1">
      <c r="A575" s="5"/>
      <c r="B575" s="5"/>
      <c r="C575" s="11"/>
      <c r="D575" s="5"/>
      <c r="E575" s="5"/>
      <c r="F575" s="8"/>
      <c r="G575" s="8"/>
      <c r="H575" s="9"/>
      <c r="I575" s="9"/>
      <c r="J575" s="9"/>
      <c r="K575" s="9"/>
      <c r="L575" s="9"/>
      <c r="M575" s="9"/>
      <c r="N575" s="9"/>
      <c r="O575" s="9"/>
      <c r="P575" s="9"/>
    </row>
    <row r="576" ht="30.0" customHeight="1">
      <c r="A576" s="5"/>
      <c r="B576" s="5"/>
      <c r="C576" s="11"/>
      <c r="D576" s="5"/>
      <c r="E576" s="5"/>
      <c r="F576" s="8"/>
      <c r="G576" s="8"/>
      <c r="H576" s="9"/>
      <c r="I576" s="9"/>
      <c r="J576" s="9"/>
      <c r="K576" s="9"/>
      <c r="L576" s="9"/>
      <c r="M576" s="9"/>
      <c r="N576" s="9"/>
      <c r="O576" s="9"/>
      <c r="P576" s="9"/>
    </row>
    <row r="577" ht="30.0" customHeight="1">
      <c r="A577" s="5"/>
      <c r="B577" s="5"/>
      <c r="C577" s="11"/>
      <c r="D577" s="5"/>
      <c r="E577" s="5"/>
      <c r="F577" s="8"/>
      <c r="G577" s="8"/>
      <c r="H577" s="9"/>
      <c r="I577" s="9"/>
      <c r="J577" s="9"/>
      <c r="K577" s="9"/>
      <c r="L577" s="9"/>
      <c r="M577" s="9"/>
      <c r="N577" s="9"/>
      <c r="O577" s="9"/>
      <c r="P577" s="9"/>
    </row>
    <row r="578" ht="30.0" customHeight="1">
      <c r="A578" s="5"/>
      <c r="B578" s="5"/>
      <c r="C578" s="11"/>
      <c r="D578" s="5"/>
      <c r="E578" s="5"/>
      <c r="F578" s="8"/>
      <c r="G578" s="8"/>
      <c r="H578" s="9"/>
      <c r="I578" s="9"/>
      <c r="J578" s="9"/>
      <c r="K578" s="9"/>
      <c r="L578" s="9"/>
      <c r="M578" s="9"/>
      <c r="N578" s="9"/>
      <c r="O578" s="9"/>
      <c r="P578" s="9"/>
    </row>
    <row r="579" ht="30.0" customHeight="1">
      <c r="A579" s="5"/>
      <c r="B579" s="5"/>
      <c r="C579" s="11"/>
      <c r="D579" s="5"/>
      <c r="E579" s="5"/>
      <c r="F579" s="8"/>
      <c r="G579" s="8"/>
      <c r="H579" s="9"/>
      <c r="I579" s="9"/>
      <c r="J579" s="9"/>
      <c r="K579" s="9"/>
      <c r="L579" s="9"/>
      <c r="M579" s="9"/>
      <c r="N579" s="9"/>
      <c r="O579" s="9"/>
      <c r="P579" s="9"/>
    </row>
    <row r="580" ht="30.0" customHeight="1">
      <c r="A580" s="5"/>
      <c r="B580" s="5"/>
      <c r="C580" s="11"/>
      <c r="D580" s="5"/>
      <c r="E580" s="5"/>
      <c r="F580" s="8"/>
      <c r="G580" s="8"/>
      <c r="H580" s="9"/>
      <c r="I580" s="9"/>
      <c r="J580" s="9"/>
      <c r="K580" s="9"/>
      <c r="L580" s="9"/>
      <c r="M580" s="9"/>
      <c r="N580" s="9"/>
      <c r="O580" s="9"/>
      <c r="P580" s="9"/>
    </row>
    <row r="581" ht="30.0" customHeight="1">
      <c r="A581" s="5"/>
      <c r="B581" s="5"/>
      <c r="C581" s="11"/>
      <c r="D581" s="5"/>
      <c r="E581" s="5"/>
      <c r="F581" s="8"/>
      <c r="G581" s="8"/>
      <c r="H581" s="9"/>
      <c r="I581" s="9"/>
      <c r="J581" s="9"/>
      <c r="K581" s="9"/>
      <c r="L581" s="9"/>
      <c r="M581" s="9"/>
      <c r="N581" s="9"/>
      <c r="O581" s="9"/>
      <c r="P581" s="9"/>
    </row>
    <row r="582" ht="30.0" customHeight="1">
      <c r="A582" s="5"/>
      <c r="B582" s="5"/>
      <c r="C582" s="11"/>
      <c r="D582" s="5"/>
      <c r="E582" s="5"/>
      <c r="F582" s="8"/>
      <c r="G582" s="8"/>
      <c r="H582" s="9"/>
      <c r="I582" s="9"/>
      <c r="J582" s="9"/>
      <c r="K582" s="9"/>
      <c r="L582" s="9"/>
      <c r="M582" s="9"/>
      <c r="N582" s="9"/>
      <c r="O582" s="9"/>
      <c r="P582" s="9"/>
    </row>
    <row r="583" ht="30.0" customHeight="1">
      <c r="A583" s="5"/>
      <c r="B583" s="5"/>
      <c r="C583" s="11"/>
      <c r="D583" s="5"/>
      <c r="E583" s="5"/>
      <c r="F583" s="8"/>
      <c r="G583" s="8"/>
      <c r="H583" s="9"/>
      <c r="I583" s="9"/>
      <c r="J583" s="9"/>
      <c r="K583" s="9"/>
      <c r="L583" s="9"/>
      <c r="M583" s="9"/>
      <c r="N583" s="9"/>
      <c r="O583" s="9"/>
      <c r="P583" s="9"/>
    </row>
    <row r="584" ht="30.0" customHeight="1">
      <c r="A584" s="5"/>
      <c r="B584" s="5"/>
      <c r="C584" s="11"/>
      <c r="D584" s="5"/>
      <c r="E584" s="5"/>
      <c r="F584" s="8"/>
      <c r="G584" s="8"/>
      <c r="H584" s="9"/>
      <c r="I584" s="9"/>
      <c r="J584" s="9"/>
      <c r="K584" s="9"/>
      <c r="L584" s="9"/>
      <c r="M584" s="9"/>
      <c r="N584" s="9"/>
      <c r="O584" s="9"/>
      <c r="P584" s="9"/>
    </row>
    <row r="585" ht="30.0" customHeight="1">
      <c r="A585" s="5"/>
      <c r="B585" s="5"/>
      <c r="C585" s="11"/>
      <c r="D585" s="5"/>
      <c r="E585" s="5"/>
      <c r="F585" s="8"/>
      <c r="G585" s="8"/>
      <c r="H585" s="9"/>
      <c r="I585" s="9"/>
      <c r="J585" s="9"/>
      <c r="K585" s="9"/>
      <c r="L585" s="9"/>
      <c r="M585" s="9"/>
      <c r="N585" s="9"/>
      <c r="O585" s="9"/>
      <c r="P585" s="9"/>
    </row>
    <row r="586" ht="30.0" customHeight="1">
      <c r="A586" s="5"/>
      <c r="B586" s="5"/>
      <c r="C586" s="11"/>
      <c r="D586" s="5"/>
      <c r="E586" s="5"/>
      <c r="F586" s="8"/>
      <c r="G586" s="8"/>
      <c r="H586" s="9"/>
      <c r="I586" s="9"/>
      <c r="J586" s="9"/>
      <c r="K586" s="9"/>
      <c r="L586" s="9"/>
      <c r="M586" s="9"/>
      <c r="N586" s="9"/>
      <c r="O586" s="9"/>
      <c r="P586" s="9"/>
    </row>
    <row r="587" ht="30.0" customHeight="1">
      <c r="A587" s="5"/>
      <c r="B587" s="5"/>
      <c r="C587" s="11"/>
      <c r="D587" s="5"/>
      <c r="E587" s="5"/>
      <c r="F587" s="8"/>
      <c r="G587" s="8"/>
      <c r="H587" s="9"/>
      <c r="I587" s="9"/>
      <c r="J587" s="9"/>
      <c r="K587" s="9"/>
      <c r="L587" s="9"/>
      <c r="M587" s="9"/>
      <c r="N587" s="9"/>
      <c r="O587" s="9"/>
      <c r="P587" s="9"/>
    </row>
    <row r="588" ht="30.0" customHeight="1">
      <c r="A588" s="5"/>
      <c r="B588" s="5"/>
      <c r="C588" s="11"/>
      <c r="D588" s="5"/>
      <c r="E588" s="5"/>
      <c r="F588" s="8"/>
      <c r="G588" s="8"/>
      <c r="H588" s="9"/>
      <c r="I588" s="9"/>
      <c r="J588" s="9"/>
      <c r="K588" s="9"/>
      <c r="L588" s="9"/>
      <c r="M588" s="9"/>
      <c r="N588" s="9"/>
      <c r="O588" s="9"/>
      <c r="P588" s="9"/>
    </row>
    <row r="589" ht="30.0" customHeight="1">
      <c r="A589" s="5"/>
      <c r="B589" s="5"/>
      <c r="C589" s="11"/>
      <c r="D589" s="5"/>
      <c r="E589" s="5"/>
      <c r="F589" s="8"/>
      <c r="G589" s="8"/>
      <c r="H589" s="9"/>
      <c r="I589" s="9"/>
      <c r="J589" s="9"/>
      <c r="K589" s="9"/>
      <c r="L589" s="9"/>
      <c r="M589" s="9"/>
      <c r="N589" s="9"/>
      <c r="O589" s="9"/>
      <c r="P589" s="9"/>
    </row>
    <row r="590" ht="30.0" customHeight="1">
      <c r="A590" s="5"/>
      <c r="B590" s="5"/>
      <c r="C590" s="11"/>
      <c r="D590" s="5"/>
      <c r="E590" s="5"/>
      <c r="F590" s="8"/>
      <c r="G590" s="8"/>
      <c r="H590" s="9"/>
      <c r="I590" s="9"/>
      <c r="J590" s="9"/>
      <c r="K590" s="9"/>
      <c r="L590" s="9"/>
      <c r="M590" s="9"/>
      <c r="N590" s="9"/>
      <c r="O590" s="9"/>
      <c r="P590" s="9"/>
    </row>
    <row r="591" ht="30.0" customHeight="1">
      <c r="A591" s="5"/>
      <c r="B591" s="5"/>
      <c r="C591" s="11"/>
      <c r="D591" s="5"/>
      <c r="E591" s="5"/>
      <c r="F591" s="8"/>
      <c r="G591" s="8"/>
      <c r="H591" s="9"/>
      <c r="I591" s="9"/>
      <c r="J591" s="9"/>
      <c r="K591" s="9"/>
      <c r="L591" s="9"/>
      <c r="M591" s="9"/>
      <c r="N591" s="9"/>
      <c r="O591" s="9"/>
      <c r="P591" s="9"/>
    </row>
    <row r="592" ht="30.0" customHeight="1">
      <c r="A592" s="5"/>
      <c r="B592" s="5"/>
      <c r="C592" s="11"/>
      <c r="D592" s="5"/>
      <c r="E592" s="5"/>
      <c r="F592" s="8"/>
      <c r="G592" s="8"/>
      <c r="H592" s="9"/>
      <c r="I592" s="9"/>
      <c r="J592" s="9"/>
      <c r="K592" s="9"/>
      <c r="L592" s="9"/>
      <c r="M592" s="9"/>
      <c r="N592" s="9"/>
      <c r="O592" s="9"/>
      <c r="P592" s="9"/>
    </row>
    <row r="593" ht="30.0" customHeight="1">
      <c r="A593" s="5"/>
      <c r="B593" s="5"/>
      <c r="C593" s="11"/>
      <c r="D593" s="5"/>
      <c r="E593" s="5"/>
      <c r="F593" s="8"/>
      <c r="G593" s="8"/>
      <c r="H593" s="9"/>
      <c r="I593" s="9"/>
      <c r="J593" s="9"/>
      <c r="K593" s="9"/>
      <c r="L593" s="9"/>
      <c r="M593" s="9"/>
      <c r="N593" s="9"/>
      <c r="O593" s="9"/>
      <c r="P593" s="9"/>
    </row>
    <row r="594" ht="30.0" customHeight="1">
      <c r="A594" s="5"/>
      <c r="B594" s="5"/>
      <c r="C594" s="11"/>
      <c r="D594" s="5"/>
      <c r="E594" s="5"/>
      <c r="F594" s="8"/>
      <c r="G594" s="8"/>
      <c r="H594" s="9"/>
      <c r="I594" s="9"/>
      <c r="J594" s="9"/>
      <c r="K594" s="9"/>
      <c r="L594" s="9"/>
      <c r="M594" s="9"/>
      <c r="N594" s="9"/>
      <c r="O594" s="9"/>
      <c r="P594" s="9"/>
    </row>
    <row r="595" ht="30.0" customHeight="1">
      <c r="A595" s="5"/>
      <c r="B595" s="5"/>
      <c r="C595" s="11"/>
      <c r="D595" s="5"/>
      <c r="E595" s="5"/>
      <c r="F595" s="8"/>
      <c r="G595" s="8"/>
      <c r="H595" s="9"/>
      <c r="I595" s="9"/>
      <c r="J595" s="9"/>
      <c r="K595" s="9"/>
      <c r="L595" s="9"/>
      <c r="M595" s="9"/>
      <c r="N595" s="9"/>
      <c r="O595" s="9"/>
      <c r="P595" s="9"/>
    </row>
    <row r="596" ht="30.0" customHeight="1">
      <c r="A596" s="5"/>
      <c r="B596" s="5"/>
      <c r="C596" s="11"/>
      <c r="D596" s="5"/>
      <c r="E596" s="5"/>
      <c r="F596" s="8"/>
      <c r="G596" s="8"/>
      <c r="H596" s="9"/>
      <c r="I596" s="9"/>
      <c r="J596" s="9"/>
      <c r="K596" s="9"/>
      <c r="L596" s="9"/>
      <c r="M596" s="9"/>
      <c r="N596" s="9"/>
      <c r="O596" s="9"/>
      <c r="P596" s="9"/>
    </row>
    <row r="597" ht="30.0" customHeight="1">
      <c r="A597" s="5"/>
      <c r="B597" s="5"/>
      <c r="C597" s="11"/>
      <c r="D597" s="5"/>
      <c r="E597" s="5"/>
      <c r="F597" s="8"/>
      <c r="G597" s="8"/>
      <c r="H597" s="9"/>
      <c r="I597" s="9"/>
      <c r="J597" s="9"/>
      <c r="K597" s="9"/>
      <c r="L597" s="9"/>
      <c r="M597" s="9"/>
      <c r="N597" s="9"/>
      <c r="O597" s="9"/>
      <c r="P597" s="9"/>
    </row>
    <row r="598" ht="30.0" customHeight="1">
      <c r="A598" s="5"/>
      <c r="B598" s="5"/>
      <c r="C598" s="11"/>
      <c r="D598" s="5"/>
      <c r="E598" s="5"/>
      <c r="F598" s="8"/>
      <c r="G598" s="8"/>
      <c r="H598" s="9"/>
      <c r="I598" s="9"/>
      <c r="J598" s="9"/>
      <c r="K598" s="9"/>
      <c r="L598" s="9"/>
      <c r="M598" s="9"/>
      <c r="N598" s="9"/>
      <c r="O598" s="9"/>
      <c r="P598" s="9"/>
    </row>
    <row r="599" ht="30.0" customHeight="1">
      <c r="A599" s="5"/>
      <c r="B599" s="5"/>
      <c r="C599" s="11"/>
      <c r="D599" s="5"/>
      <c r="E599" s="5"/>
      <c r="F599" s="8"/>
      <c r="G599" s="8"/>
      <c r="H599" s="9"/>
      <c r="I599" s="9"/>
      <c r="J599" s="9"/>
      <c r="K599" s="9"/>
      <c r="L599" s="9"/>
      <c r="M599" s="9"/>
      <c r="N599" s="9"/>
      <c r="O599" s="9"/>
      <c r="P599" s="9"/>
    </row>
    <row r="600" ht="30.0" customHeight="1">
      <c r="A600" s="5"/>
      <c r="B600" s="5"/>
      <c r="C600" s="11"/>
      <c r="D600" s="5"/>
      <c r="E600" s="5"/>
      <c r="F600" s="8"/>
      <c r="G600" s="8"/>
      <c r="H600" s="9"/>
      <c r="I600" s="9"/>
      <c r="J600" s="9"/>
      <c r="K600" s="9"/>
      <c r="L600" s="9"/>
      <c r="M600" s="9"/>
      <c r="N600" s="9"/>
      <c r="O600" s="9"/>
      <c r="P600" s="9"/>
    </row>
    <row r="601" ht="30.0" customHeight="1">
      <c r="A601" s="5"/>
      <c r="B601" s="5"/>
      <c r="C601" s="11"/>
      <c r="D601" s="5"/>
      <c r="E601" s="5"/>
      <c r="F601" s="8"/>
      <c r="G601" s="8"/>
      <c r="H601" s="9"/>
      <c r="I601" s="9"/>
      <c r="J601" s="9"/>
      <c r="K601" s="9"/>
      <c r="L601" s="9"/>
      <c r="M601" s="9"/>
      <c r="N601" s="9"/>
      <c r="O601" s="9"/>
      <c r="P601" s="9"/>
    </row>
    <row r="602" ht="30.0" customHeight="1">
      <c r="A602" s="5"/>
      <c r="B602" s="5"/>
      <c r="C602" s="11"/>
      <c r="D602" s="5"/>
      <c r="E602" s="5"/>
      <c r="F602" s="8"/>
      <c r="G602" s="8"/>
      <c r="H602" s="9"/>
      <c r="I602" s="9"/>
      <c r="J602" s="9"/>
      <c r="K602" s="9"/>
      <c r="L602" s="9"/>
      <c r="M602" s="9"/>
      <c r="N602" s="9"/>
      <c r="O602" s="9"/>
      <c r="P602" s="9"/>
    </row>
    <row r="603" ht="30.0" customHeight="1">
      <c r="A603" s="5"/>
      <c r="B603" s="5"/>
      <c r="C603" s="11"/>
      <c r="D603" s="5"/>
      <c r="E603" s="5"/>
      <c r="F603" s="8"/>
      <c r="G603" s="8"/>
      <c r="H603" s="9"/>
      <c r="I603" s="9"/>
      <c r="J603" s="9"/>
      <c r="K603" s="9"/>
      <c r="L603" s="9"/>
      <c r="M603" s="9"/>
      <c r="N603" s="9"/>
      <c r="O603" s="9"/>
      <c r="P603" s="9"/>
    </row>
    <row r="604" ht="30.0" customHeight="1">
      <c r="A604" s="5"/>
      <c r="B604" s="5"/>
      <c r="C604" s="11"/>
      <c r="D604" s="5"/>
      <c r="E604" s="5"/>
      <c r="F604" s="8"/>
      <c r="G604" s="8"/>
      <c r="H604" s="9"/>
      <c r="I604" s="9"/>
      <c r="J604" s="9"/>
      <c r="K604" s="9"/>
      <c r="L604" s="9"/>
      <c r="M604" s="9"/>
      <c r="N604" s="9"/>
      <c r="O604" s="9"/>
      <c r="P604" s="9"/>
    </row>
    <row r="605" ht="30.0" customHeight="1">
      <c r="A605" s="5"/>
      <c r="B605" s="5"/>
      <c r="C605" s="11"/>
      <c r="D605" s="5"/>
      <c r="E605" s="5"/>
      <c r="F605" s="8"/>
      <c r="G605" s="8"/>
      <c r="H605" s="9"/>
      <c r="I605" s="9"/>
      <c r="J605" s="9"/>
      <c r="K605" s="9"/>
      <c r="L605" s="9"/>
      <c r="M605" s="9"/>
      <c r="N605" s="9"/>
      <c r="O605" s="9"/>
      <c r="P605" s="9"/>
    </row>
    <row r="606" ht="30.0" customHeight="1">
      <c r="A606" s="5"/>
      <c r="B606" s="5"/>
      <c r="C606" s="11"/>
      <c r="D606" s="5"/>
      <c r="E606" s="5"/>
      <c r="F606" s="8"/>
      <c r="G606" s="8"/>
      <c r="H606" s="9"/>
      <c r="I606" s="9"/>
      <c r="J606" s="9"/>
      <c r="K606" s="9"/>
      <c r="L606" s="9"/>
      <c r="M606" s="9"/>
      <c r="N606" s="9"/>
      <c r="O606" s="9"/>
      <c r="P606" s="9"/>
    </row>
    <row r="607" ht="30.0" customHeight="1">
      <c r="A607" s="5"/>
      <c r="B607" s="5"/>
      <c r="C607" s="11"/>
      <c r="D607" s="5"/>
      <c r="E607" s="5"/>
      <c r="F607" s="8"/>
      <c r="G607" s="8"/>
      <c r="H607" s="9"/>
      <c r="I607" s="9"/>
      <c r="J607" s="9"/>
      <c r="K607" s="9"/>
      <c r="L607" s="9"/>
      <c r="M607" s="9"/>
      <c r="N607" s="9"/>
      <c r="O607" s="9"/>
      <c r="P607" s="9"/>
    </row>
    <row r="608" ht="30.0" customHeight="1">
      <c r="A608" s="5"/>
      <c r="B608" s="5"/>
      <c r="C608" s="11"/>
      <c r="D608" s="5"/>
      <c r="E608" s="5"/>
      <c r="F608" s="8"/>
      <c r="G608" s="8"/>
      <c r="H608" s="9"/>
      <c r="I608" s="9"/>
      <c r="J608" s="9"/>
      <c r="K608" s="9"/>
      <c r="L608" s="9"/>
      <c r="M608" s="9"/>
      <c r="N608" s="9"/>
      <c r="O608" s="9"/>
      <c r="P608" s="9"/>
    </row>
    <row r="609" ht="30.0" customHeight="1">
      <c r="A609" s="5"/>
      <c r="B609" s="5"/>
      <c r="C609" s="11"/>
      <c r="D609" s="5"/>
      <c r="E609" s="5"/>
      <c r="F609" s="8"/>
      <c r="G609" s="8"/>
      <c r="H609" s="9"/>
      <c r="I609" s="9"/>
      <c r="J609" s="9"/>
      <c r="K609" s="9"/>
      <c r="L609" s="9"/>
      <c r="M609" s="9"/>
      <c r="N609" s="9"/>
      <c r="O609" s="9"/>
      <c r="P609" s="9"/>
    </row>
    <row r="610" ht="30.0" customHeight="1">
      <c r="A610" s="5"/>
      <c r="B610" s="5"/>
      <c r="C610" s="11"/>
      <c r="D610" s="5"/>
      <c r="E610" s="5"/>
      <c r="F610" s="8"/>
      <c r="G610" s="8"/>
      <c r="H610" s="9"/>
      <c r="I610" s="9"/>
      <c r="J610" s="9"/>
      <c r="K610" s="9"/>
      <c r="L610" s="9"/>
      <c r="M610" s="9"/>
      <c r="N610" s="9"/>
      <c r="O610" s="9"/>
      <c r="P610" s="9"/>
    </row>
    <row r="611" ht="30.0" customHeight="1">
      <c r="A611" s="5"/>
      <c r="B611" s="5"/>
      <c r="C611" s="11"/>
      <c r="D611" s="5"/>
      <c r="E611" s="5"/>
      <c r="F611" s="8"/>
      <c r="G611" s="8"/>
      <c r="H611" s="9"/>
      <c r="I611" s="9"/>
      <c r="J611" s="9"/>
      <c r="K611" s="9"/>
      <c r="L611" s="9"/>
      <c r="M611" s="9"/>
      <c r="N611" s="9"/>
      <c r="O611" s="9"/>
      <c r="P611" s="9"/>
    </row>
    <row r="612" ht="30.0" customHeight="1">
      <c r="A612" s="5"/>
      <c r="B612" s="5"/>
      <c r="C612" s="11"/>
      <c r="D612" s="5"/>
      <c r="E612" s="5"/>
      <c r="F612" s="8"/>
      <c r="G612" s="8"/>
      <c r="H612" s="9"/>
      <c r="I612" s="9"/>
      <c r="J612" s="9"/>
      <c r="K612" s="9"/>
      <c r="L612" s="9"/>
      <c r="M612" s="9"/>
      <c r="N612" s="9"/>
      <c r="O612" s="9"/>
      <c r="P612" s="9"/>
    </row>
    <row r="613" ht="30.0" customHeight="1">
      <c r="A613" s="5"/>
      <c r="B613" s="5"/>
      <c r="C613" s="11"/>
      <c r="D613" s="5"/>
      <c r="E613" s="5"/>
      <c r="F613" s="8"/>
      <c r="G613" s="8"/>
      <c r="H613" s="9"/>
      <c r="I613" s="9"/>
      <c r="J613" s="9"/>
      <c r="K613" s="9"/>
      <c r="L613" s="9"/>
      <c r="M613" s="9"/>
      <c r="N613" s="9"/>
      <c r="O613" s="9"/>
      <c r="P613" s="9"/>
    </row>
    <row r="614" ht="30.0" customHeight="1">
      <c r="A614" s="5"/>
      <c r="B614" s="5"/>
      <c r="C614" s="11"/>
      <c r="D614" s="5"/>
      <c r="E614" s="5"/>
      <c r="F614" s="8"/>
      <c r="G614" s="8"/>
      <c r="H614" s="9"/>
      <c r="I614" s="9"/>
      <c r="J614" s="9"/>
      <c r="K614" s="9"/>
      <c r="L614" s="9"/>
      <c r="M614" s="9"/>
      <c r="N614" s="9"/>
      <c r="O614" s="9"/>
      <c r="P614" s="9"/>
    </row>
    <row r="615" ht="30.0" customHeight="1">
      <c r="A615" s="5"/>
      <c r="B615" s="5"/>
      <c r="C615" s="11"/>
      <c r="D615" s="5"/>
      <c r="E615" s="5"/>
      <c r="F615" s="8"/>
      <c r="G615" s="8"/>
      <c r="H615" s="9"/>
      <c r="I615" s="9"/>
      <c r="J615" s="9"/>
      <c r="K615" s="9"/>
      <c r="L615" s="9"/>
      <c r="M615" s="9"/>
      <c r="N615" s="9"/>
      <c r="O615" s="9"/>
      <c r="P615" s="9"/>
    </row>
    <row r="616" ht="30.0" customHeight="1">
      <c r="A616" s="5"/>
      <c r="B616" s="5"/>
      <c r="C616" s="11"/>
      <c r="D616" s="5"/>
      <c r="E616" s="5"/>
      <c r="F616" s="8"/>
      <c r="G616" s="8"/>
      <c r="H616" s="9"/>
      <c r="I616" s="9"/>
      <c r="J616" s="9"/>
      <c r="K616" s="9"/>
      <c r="L616" s="9"/>
      <c r="M616" s="9"/>
      <c r="N616" s="9"/>
      <c r="O616" s="9"/>
      <c r="P616" s="9"/>
    </row>
    <row r="617" ht="30.0" customHeight="1">
      <c r="A617" s="5"/>
      <c r="B617" s="5"/>
      <c r="C617" s="11"/>
      <c r="D617" s="5"/>
      <c r="E617" s="5"/>
      <c r="F617" s="8"/>
      <c r="G617" s="8"/>
      <c r="H617" s="9"/>
      <c r="I617" s="9"/>
      <c r="J617" s="9"/>
      <c r="K617" s="9"/>
      <c r="L617" s="9"/>
      <c r="M617" s="9"/>
      <c r="N617" s="9"/>
      <c r="O617" s="9"/>
      <c r="P617" s="9"/>
    </row>
    <row r="618" ht="30.0" customHeight="1">
      <c r="A618" s="5"/>
      <c r="B618" s="5"/>
      <c r="C618" s="11"/>
      <c r="D618" s="5"/>
      <c r="E618" s="5"/>
      <c r="F618" s="8"/>
      <c r="G618" s="8"/>
      <c r="H618" s="9"/>
      <c r="I618" s="9"/>
      <c r="J618" s="9"/>
      <c r="K618" s="9"/>
      <c r="L618" s="9"/>
      <c r="M618" s="9"/>
      <c r="N618" s="9"/>
      <c r="O618" s="9"/>
      <c r="P618" s="9"/>
    </row>
    <row r="619" ht="30.0" customHeight="1">
      <c r="A619" s="5"/>
      <c r="B619" s="5"/>
      <c r="C619" s="11"/>
      <c r="D619" s="5"/>
      <c r="E619" s="5"/>
      <c r="F619" s="8"/>
      <c r="G619" s="8"/>
      <c r="H619" s="9"/>
      <c r="I619" s="9"/>
      <c r="J619" s="9"/>
      <c r="K619" s="9"/>
      <c r="L619" s="9"/>
      <c r="M619" s="9"/>
      <c r="N619" s="9"/>
      <c r="O619" s="9"/>
      <c r="P619" s="9"/>
    </row>
    <row r="620" ht="30.0" customHeight="1">
      <c r="A620" s="5"/>
      <c r="B620" s="5"/>
      <c r="C620" s="11"/>
      <c r="D620" s="5"/>
      <c r="E620" s="5"/>
      <c r="F620" s="8"/>
      <c r="G620" s="8"/>
      <c r="H620" s="9"/>
      <c r="I620" s="9"/>
      <c r="J620" s="9"/>
      <c r="K620" s="9"/>
      <c r="L620" s="9"/>
      <c r="M620" s="9"/>
      <c r="N620" s="9"/>
      <c r="O620" s="9"/>
      <c r="P620" s="9"/>
    </row>
    <row r="621" ht="30.0" customHeight="1">
      <c r="A621" s="5"/>
      <c r="B621" s="5"/>
      <c r="C621" s="11"/>
      <c r="D621" s="5"/>
      <c r="E621" s="5"/>
      <c r="F621" s="8"/>
      <c r="G621" s="8"/>
      <c r="H621" s="9"/>
      <c r="I621" s="9"/>
      <c r="J621" s="9"/>
      <c r="K621" s="9"/>
      <c r="L621" s="9"/>
      <c r="M621" s="9"/>
      <c r="N621" s="9"/>
      <c r="O621" s="9"/>
      <c r="P621" s="9"/>
    </row>
    <row r="622" ht="30.0" customHeight="1">
      <c r="A622" s="5"/>
      <c r="B622" s="5"/>
      <c r="C622" s="11"/>
      <c r="D622" s="5"/>
      <c r="E622" s="5"/>
      <c r="F622" s="8"/>
      <c r="G622" s="8"/>
      <c r="H622" s="9"/>
      <c r="I622" s="9"/>
      <c r="J622" s="9"/>
      <c r="K622" s="9"/>
      <c r="L622" s="9"/>
      <c r="M622" s="9"/>
      <c r="N622" s="9"/>
      <c r="O622" s="9"/>
      <c r="P622" s="9"/>
    </row>
    <row r="623" ht="30.0" customHeight="1">
      <c r="A623" s="5"/>
      <c r="B623" s="5"/>
      <c r="C623" s="11"/>
      <c r="D623" s="5"/>
      <c r="E623" s="5"/>
      <c r="F623" s="8"/>
      <c r="G623" s="8"/>
      <c r="H623" s="9"/>
      <c r="I623" s="9"/>
      <c r="J623" s="9"/>
      <c r="K623" s="9"/>
      <c r="L623" s="9"/>
      <c r="M623" s="9"/>
      <c r="N623" s="9"/>
      <c r="O623" s="9"/>
      <c r="P623" s="9"/>
    </row>
    <row r="624" ht="30.0" customHeight="1">
      <c r="A624" s="5"/>
      <c r="B624" s="5"/>
      <c r="C624" s="11"/>
      <c r="D624" s="5"/>
      <c r="E624" s="5"/>
      <c r="F624" s="8"/>
      <c r="G624" s="8"/>
      <c r="H624" s="9"/>
      <c r="I624" s="9"/>
      <c r="J624" s="9"/>
      <c r="K624" s="9"/>
      <c r="L624" s="9"/>
      <c r="M624" s="9"/>
      <c r="N624" s="9"/>
      <c r="O624" s="9"/>
      <c r="P624" s="9"/>
    </row>
    <row r="625" ht="30.0" customHeight="1">
      <c r="A625" s="5"/>
      <c r="B625" s="5"/>
      <c r="C625" s="11"/>
      <c r="D625" s="5"/>
      <c r="E625" s="5"/>
      <c r="F625" s="8"/>
      <c r="G625" s="8"/>
      <c r="H625" s="9"/>
      <c r="I625" s="9"/>
      <c r="J625" s="9"/>
      <c r="K625" s="9"/>
      <c r="L625" s="9"/>
      <c r="M625" s="9"/>
      <c r="N625" s="9"/>
      <c r="O625" s="9"/>
      <c r="P625" s="9"/>
    </row>
    <row r="626" ht="30.0" customHeight="1">
      <c r="A626" s="5"/>
      <c r="B626" s="5"/>
      <c r="C626" s="11"/>
      <c r="D626" s="5"/>
      <c r="E626" s="5"/>
      <c r="F626" s="8"/>
      <c r="G626" s="8"/>
      <c r="H626" s="9"/>
      <c r="I626" s="9"/>
      <c r="J626" s="9"/>
      <c r="K626" s="9"/>
      <c r="L626" s="9"/>
      <c r="M626" s="9"/>
      <c r="N626" s="9"/>
      <c r="O626" s="9"/>
      <c r="P626" s="9"/>
    </row>
    <row r="627" ht="30.0" customHeight="1">
      <c r="A627" s="5"/>
      <c r="B627" s="5"/>
      <c r="C627" s="11"/>
      <c r="D627" s="5"/>
      <c r="E627" s="5"/>
      <c r="F627" s="8"/>
      <c r="G627" s="8"/>
      <c r="H627" s="9"/>
      <c r="I627" s="9"/>
      <c r="J627" s="9"/>
      <c r="K627" s="9"/>
      <c r="L627" s="9"/>
      <c r="M627" s="9"/>
      <c r="N627" s="9"/>
      <c r="O627" s="9"/>
      <c r="P627" s="9"/>
    </row>
    <row r="628" ht="30.0" customHeight="1">
      <c r="A628" s="5"/>
      <c r="B628" s="5"/>
      <c r="C628" s="11"/>
      <c r="D628" s="5"/>
      <c r="E628" s="5"/>
      <c r="F628" s="8"/>
      <c r="G628" s="8"/>
      <c r="H628" s="9"/>
      <c r="I628" s="9"/>
      <c r="J628" s="9"/>
      <c r="K628" s="9"/>
      <c r="L628" s="9"/>
      <c r="M628" s="9"/>
      <c r="N628" s="9"/>
      <c r="O628" s="9"/>
      <c r="P628" s="9"/>
    </row>
    <row r="629" ht="30.0" customHeight="1">
      <c r="A629" s="5"/>
      <c r="B629" s="5"/>
      <c r="C629" s="11"/>
      <c r="D629" s="5"/>
      <c r="E629" s="5"/>
      <c r="F629" s="8"/>
      <c r="G629" s="8"/>
      <c r="H629" s="9"/>
      <c r="I629" s="9"/>
      <c r="J629" s="9"/>
      <c r="K629" s="9"/>
      <c r="L629" s="9"/>
      <c r="M629" s="9"/>
      <c r="N629" s="9"/>
      <c r="O629" s="9"/>
      <c r="P629" s="9"/>
    </row>
    <row r="630" ht="30.0" customHeight="1">
      <c r="A630" s="5"/>
      <c r="B630" s="5"/>
      <c r="C630" s="11"/>
      <c r="D630" s="5"/>
      <c r="E630" s="5"/>
      <c r="F630" s="8"/>
      <c r="G630" s="8"/>
      <c r="H630" s="9"/>
      <c r="I630" s="9"/>
      <c r="J630" s="9"/>
      <c r="K630" s="9"/>
      <c r="L630" s="9"/>
      <c r="M630" s="9"/>
      <c r="N630" s="9"/>
      <c r="O630" s="9"/>
      <c r="P630" s="9"/>
    </row>
    <row r="631" ht="30.0" customHeight="1">
      <c r="A631" s="5"/>
      <c r="B631" s="5"/>
      <c r="C631" s="11"/>
      <c r="D631" s="5"/>
      <c r="E631" s="5"/>
      <c r="F631" s="8"/>
      <c r="G631" s="8"/>
      <c r="H631" s="9"/>
      <c r="I631" s="9"/>
      <c r="J631" s="9"/>
      <c r="K631" s="9"/>
      <c r="L631" s="9"/>
      <c r="M631" s="9"/>
      <c r="N631" s="9"/>
      <c r="O631" s="9"/>
      <c r="P631" s="9"/>
    </row>
    <row r="632" ht="30.0" customHeight="1">
      <c r="A632" s="5"/>
      <c r="B632" s="5"/>
      <c r="C632" s="11"/>
      <c r="D632" s="5"/>
      <c r="E632" s="5"/>
      <c r="F632" s="8"/>
      <c r="G632" s="8"/>
      <c r="H632" s="9"/>
      <c r="I632" s="9"/>
      <c r="J632" s="9"/>
      <c r="K632" s="9"/>
      <c r="L632" s="9"/>
      <c r="M632" s="9"/>
      <c r="N632" s="9"/>
      <c r="O632" s="9"/>
      <c r="P632" s="9"/>
    </row>
    <row r="633" ht="30.0" customHeight="1">
      <c r="A633" s="5"/>
      <c r="B633" s="5"/>
      <c r="C633" s="11"/>
      <c r="D633" s="5"/>
      <c r="E633" s="5"/>
      <c r="F633" s="8"/>
      <c r="G633" s="8"/>
      <c r="H633" s="9"/>
      <c r="I633" s="9"/>
      <c r="J633" s="9"/>
      <c r="K633" s="9"/>
      <c r="L633" s="9"/>
      <c r="M633" s="9"/>
      <c r="N633" s="9"/>
      <c r="O633" s="9"/>
      <c r="P633" s="9"/>
    </row>
    <row r="634" ht="30.0" customHeight="1">
      <c r="A634" s="5"/>
      <c r="B634" s="5"/>
      <c r="C634" s="11"/>
      <c r="D634" s="5"/>
      <c r="E634" s="5"/>
      <c r="F634" s="8"/>
      <c r="G634" s="8"/>
      <c r="H634" s="9"/>
      <c r="I634" s="9"/>
      <c r="J634" s="9"/>
      <c r="K634" s="9"/>
      <c r="L634" s="9"/>
      <c r="M634" s="9"/>
      <c r="N634" s="9"/>
      <c r="O634" s="9"/>
      <c r="P634" s="9"/>
    </row>
    <row r="635" ht="30.0" customHeight="1">
      <c r="A635" s="5"/>
      <c r="B635" s="5"/>
      <c r="C635" s="11"/>
      <c r="D635" s="5"/>
      <c r="E635" s="5"/>
      <c r="F635" s="8"/>
      <c r="G635" s="8"/>
      <c r="H635" s="9"/>
      <c r="I635" s="9"/>
      <c r="J635" s="9"/>
      <c r="K635" s="9"/>
      <c r="L635" s="9"/>
      <c r="M635" s="9"/>
      <c r="N635" s="9"/>
      <c r="O635" s="9"/>
      <c r="P635" s="9"/>
    </row>
    <row r="636" ht="30.0" customHeight="1">
      <c r="A636" s="5"/>
      <c r="B636" s="5"/>
      <c r="C636" s="11"/>
      <c r="D636" s="5"/>
      <c r="E636" s="5"/>
      <c r="F636" s="8"/>
      <c r="G636" s="8"/>
      <c r="H636" s="9"/>
      <c r="I636" s="9"/>
      <c r="J636" s="9"/>
      <c r="K636" s="9"/>
      <c r="L636" s="9"/>
      <c r="M636" s="9"/>
      <c r="N636" s="9"/>
      <c r="O636" s="9"/>
      <c r="P636" s="9"/>
    </row>
    <row r="637" ht="30.0" customHeight="1">
      <c r="A637" s="5"/>
      <c r="B637" s="5"/>
      <c r="C637" s="11"/>
      <c r="D637" s="5"/>
      <c r="E637" s="5"/>
      <c r="F637" s="8"/>
      <c r="G637" s="8"/>
      <c r="H637" s="9"/>
      <c r="I637" s="9"/>
      <c r="J637" s="9"/>
      <c r="K637" s="9"/>
      <c r="L637" s="9"/>
      <c r="M637" s="9"/>
      <c r="N637" s="9"/>
      <c r="O637" s="9"/>
      <c r="P637" s="9"/>
    </row>
    <row r="638" ht="30.0" customHeight="1">
      <c r="A638" s="5"/>
      <c r="B638" s="5"/>
      <c r="C638" s="11"/>
      <c r="D638" s="5"/>
      <c r="E638" s="5"/>
      <c r="F638" s="8"/>
      <c r="G638" s="8"/>
      <c r="H638" s="9"/>
      <c r="I638" s="9"/>
      <c r="J638" s="9"/>
      <c r="K638" s="9"/>
      <c r="L638" s="9"/>
      <c r="M638" s="9"/>
      <c r="N638" s="9"/>
      <c r="O638" s="9"/>
      <c r="P638" s="9"/>
    </row>
    <row r="639" ht="30.0" customHeight="1">
      <c r="A639" s="5"/>
      <c r="B639" s="5"/>
      <c r="C639" s="11"/>
      <c r="D639" s="5"/>
      <c r="E639" s="5"/>
      <c r="F639" s="8"/>
      <c r="G639" s="8"/>
      <c r="H639" s="9"/>
      <c r="I639" s="9"/>
      <c r="J639" s="9"/>
      <c r="K639" s="9"/>
      <c r="L639" s="9"/>
      <c r="M639" s="9"/>
      <c r="N639" s="9"/>
      <c r="O639" s="9"/>
      <c r="P639" s="9"/>
    </row>
    <row r="640" ht="30.0" customHeight="1">
      <c r="A640" s="5"/>
      <c r="B640" s="5"/>
      <c r="C640" s="11"/>
      <c r="D640" s="5"/>
      <c r="E640" s="5"/>
      <c r="F640" s="8"/>
      <c r="G640" s="8"/>
      <c r="H640" s="9"/>
      <c r="I640" s="9"/>
      <c r="J640" s="9"/>
      <c r="K640" s="9"/>
      <c r="L640" s="9"/>
      <c r="M640" s="9"/>
      <c r="N640" s="9"/>
      <c r="O640" s="9"/>
      <c r="P640" s="9"/>
    </row>
    <row r="641" ht="30.0" customHeight="1">
      <c r="A641" s="5"/>
      <c r="B641" s="5"/>
      <c r="C641" s="11"/>
      <c r="D641" s="5"/>
      <c r="E641" s="5"/>
      <c r="F641" s="8"/>
      <c r="G641" s="8"/>
      <c r="H641" s="9"/>
      <c r="I641" s="9"/>
      <c r="J641" s="9"/>
      <c r="K641" s="9"/>
      <c r="L641" s="9"/>
      <c r="M641" s="9"/>
      <c r="N641" s="9"/>
      <c r="O641" s="9"/>
      <c r="P641" s="9"/>
    </row>
    <row r="642" ht="30.0" customHeight="1">
      <c r="A642" s="5"/>
      <c r="B642" s="5"/>
      <c r="C642" s="11"/>
      <c r="D642" s="5"/>
      <c r="E642" s="5"/>
      <c r="F642" s="8"/>
      <c r="G642" s="8"/>
      <c r="H642" s="9"/>
      <c r="I642" s="9"/>
      <c r="J642" s="9"/>
      <c r="K642" s="9"/>
      <c r="L642" s="9"/>
      <c r="M642" s="9"/>
      <c r="N642" s="9"/>
      <c r="O642" s="9"/>
      <c r="P642" s="9"/>
    </row>
    <row r="643" ht="30.0" customHeight="1">
      <c r="A643" s="5"/>
      <c r="B643" s="5"/>
      <c r="C643" s="11"/>
      <c r="D643" s="5"/>
      <c r="E643" s="5"/>
      <c r="F643" s="8"/>
      <c r="G643" s="8"/>
      <c r="H643" s="9"/>
      <c r="I643" s="9"/>
      <c r="J643" s="9"/>
      <c r="K643" s="9"/>
      <c r="L643" s="9"/>
      <c r="M643" s="9"/>
      <c r="N643" s="9"/>
      <c r="O643" s="9"/>
      <c r="P643" s="9"/>
    </row>
    <row r="644" ht="30.0" customHeight="1">
      <c r="A644" s="5"/>
      <c r="B644" s="5"/>
      <c r="C644" s="11"/>
      <c r="D644" s="5"/>
      <c r="E644" s="5"/>
      <c r="F644" s="8"/>
      <c r="G644" s="8"/>
      <c r="H644" s="9"/>
      <c r="I644" s="9"/>
      <c r="J644" s="9"/>
      <c r="K644" s="9"/>
      <c r="L644" s="9"/>
      <c r="M644" s="9"/>
      <c r="N644" s="9"/>
      <c r="O644" s="9"/>
      <c r="P644" s="9"/>
    </row>
    <row r="645" ht="30.0" customHeight="1">
      <c r="A645" s="5"/>
      <c r="B645" s="5"/>
      <c r="C645" s="11"/>
      <c r="D645" s="5"/>
      <c r="E645" s="5"/>
      <c r="F645" s="8"/>
      <c r="G645" s="8"/>
      <c r="H645" s="9"/>
      <c r="I645" s="9"/>
      <c r="J645" s="9"/>
      <c r="K645" s="9"/>
      <c r="L645" s="9"/>
      <c r="M645" s="9"/>
      <c r="N645" s="9"/>
      <c r="O645" s="9"/>
      <c r="P645" s="9"/>
    </row>
    <row r="646" ht="30.0" customHeight="1">
      <c r="A646" s="5"/>
      <c r="B646" s="5"/>
      <c r="C646" s="11"/>
      <c r="D646" s="5"/>
      <c r="E646" s="5"/>
      <c r="F646" s="8"/>
      <c r="G646" s="8"/>
      <c r="H646" s="9"/>
      <c r="I646" s="9"/>
      <c r="J646" s="9"/>
      <c r="K646" s="9"/>
      <c r="L646" s="9"/>
      <c r="M646" s="9"/>
      <c r="N646" s="9"/>
      <c r="O646" s="9"/>
      <c r="P646" s="9"/>
    </row>
    <row r="647" ht="30.0" customHeight="1">
      <c r="A647" s="5"/>
      <c r="B647" s="5"/>
      <c r="C647" s="11"/>
      <c r="D647" s="5"/>
      <c r="E647" s="5"/>
      <c r="F647" s="8"/>
      <c r="G647" s="8"/>
      <c r="H647" s="9"/>
      <c r="I647" s="9"/>
      <c r="J647" s="9"/>
      <c r="K647" s="9"/>
      <c r="L647" s="9"/>
      <c r="M647" s="9"/>
      <c r="N647" s="9"/>
      <c r="O647" s="9"/>
      <c r="P647" s="9"/>
    </row>
    <row r="648" ht="30.0" customHeight="1">
      <c r="A648" s="5"/>
      <c r="B648" s="5"/>
      <c r="C648" s="11"/>
      <c r="D648" s="5"/>
      <c r="E648" s="5"/>
      <c r="F648" s="8"/>
      <c r="G648" s="8"/>
      <c r="H648" s="9"/>
      <c r="I648" s="9"/>
      <c r="J648" s="9"/>
      <c r="K648" s="9"/>
      <c r="L648" s="9"/>
      <c r="M648" s="9"/>
      <c r="N648" s="9"/>
      <c r="O648" s="9"/>
      <c r="P648" s="9"/>
    </row>
    <row r="649" ht="30.0" customHeight="1">
      <c r="A649" s="5"/>
      <c r="B649" s="5"/>
      <c r="C649" s="11"/>
      <c r="D649" s="5"/>
      <c r="E649" s="5"/>
      <c r="F649" s="8"/>
      <c r="G649" s="8"/>
      <c r="H649" s="9"/>
      <c r="I649" s="9"/>
      <c r="J649" s="9"/>
      <c r="K649" s="9"/>
      <c r="L649" s="9"/>
      <c r="M649" s="9"/>
      <c r="N649" s="9"/>
      <c r="O649" s="9"/>
      <c r="P649" s="9"/>
    </row>
    <row r="650" ht="30.0" customHeight="1">
      <c r="A650" s="5"/>
      <c r="B650" s="5"/>
      <c r="C650" s="11"/>
      <c r="D650" s="5"/>
      <c r="E650" s="5"/>
      <c r="F650" s="8"/>
      <c r="G650" s="8"/>
      <c r="H650" s="9"/>
      <c r="I650" s="9"/>
      <c r="J650" s="9"/>
      <c r="K650" s="9"/>
      <c r="L650" s="9"/>
      <c r="M650" s="9"/>
      <c r="N650" s="9"/>
      <c r="O650" s="9"/>
      <c r="P650" s="9"/>
    </row>
    <row r="651" ht="30.0" customHeight="1">
      <c r="A651" s="5"/>
      <c r="B651" s="5"/>
      <c r="C651" s="11"/>
      <c r="D651" s="5"/>
      <c r="E651" s="5"/>
      <c r="F651" s="8"/>
      <c r="G651" s="8"/>
      <c r="H651" s="9"/>
      <c r="I651" s="9"/>
      <c r="J651" s="9"/>
      <c r="K651" s="9"/>
      <c r="L651" s="9"/>
      <c r="M651" s="9"/>
      <c r="N651" s="9"/>
      <c r="O651" s="9"/>
      <c r="P651" s="9"/>
    </row>
    <row r="652" ht="30.0" customHeight="1">
      <c r="A652" s="5"/>
      <c r="B652" s="5"/>
      <c r="C652" s="11"/>
      <c r="D652" s="5"/>
      <c r="E652" s="5"/>
      <c r="F652" s="8"/>
      <c r="G652" s="8"/>
      <c r="H652" s="9"/>
      <c r="I652" s="9"/>
      <c r="J652" s="9"/>
      <c r="K652" s="9"/>
      <c r="L652" s="9"/>
      <c r="M652" s="9"/>
      <c r="N652" s="9"/>
      <c r="O652" s="9"/>
      <c r="P652" s="9"/>
    </row>
    <row r="653" ht="30.0" customHeight="1">
      <c r="A653" s="5"/>
      <c r="B653" s="5"/>
      <c r="C653" s="11"/>
      <c r="D653" s="5"/>
      <c r="E653" s="5"/>
      <c r="F653" s="8"/>
      <c r="G653" s="8"/>
      <c r="H653" s="9"/>
      <c r="I653" s="9"/>
      <c r="J653" s="9"/>
      <c r="K653" s="9"/>
      <c r="L653" s="9"/>
      <c r="M653" s="9"/>
      <c r="N653" s="9"/>
      <c r="O653" s="9"/>
      <c r="P653" s="9"/>
    </row>
    <row r="654" ht="30.0" customHeight="1">
      <c r="A654" s="5"/>
      <c r="B654" s="5"/>
      <c r="C654" s="11"/>
      <c r="D654" s="5"/>
      <c r="E654" s="5"/>
      <c r="F654" s="8"/>
      <c r="G654" s="8"/>
      <c r="H654" s="9"/>
      <c r="I654" s="9"/>
      <c r="J654" s="9"/>
      <c r="K654" s="9"/>
      <c r="L654" s="9"/>
      <c r="M654" s="9"/>
      <c r="N654" s="9"/>
      <c r="O654" s="9"/>
      <c r="P654" s="9"/>
    </row>
    <row r="655" ht="30.0" customHeight="1">
      <c r="A655" s="5"/>
      <c r="B655" s="5"/>
      <c r="C655" s="11"/>
      <c r="D655" s="5"/>
      <c r="E655" s="5"/>
      <c r="F655" s="8"/>
      <c r="G655" s="8"/>
      <c r="H655" s="9"/>
      <c r="I655" s="9"/>
      <c r="J655" s="9"/>
      <c r="K655" s="9"/>
      <c r="L655" s="9"/>
      <c r="M655" s="9"/>
      <c r="N655" s="9"/>
      <c r="O655" s="9"/>
      <c r="P655" s="9"/>
    </row>
    <row r="656" ht="30.0" customHeight="1">
      <c r="A656" s="5"/>
      <c r="B656" s="5"/>
      <c r="C656" s="11"/>
      <c r="D656" s="5"/>
      <c r="E656" s="5"/>
      <c r="F656" s="8"/>
      <c r="G656" s="8"/>
      <c r="H656" s="9"/>
      <c r="I656" s="9"/>
      <c r="J656" s="9"/>
      <c r="K656" s="9"/>
      <c r="L656" s="9"/>
      <c r="M656" s="9"/>
      <c r="N656" s="9"/>
      <c r="O656" s="9"/>
      <c r="P656" s="9"/>
    </row>
    <row r="657" ht="30.0" customHeight="1">
      <c r="A657" s="5"/>
      <c r="B657" s="5"/>
      <c r="C657" s="11"/>
      <c r="D657" s="5"/>
      <c r="E657" s="5"/>
      <c r="F657" s="8"/>
      <c r="G657" s="8"/>
      <c r="H657" s="9"/>
      <c r="I657" s="9"/>
      <c r="J657" s="9"/>
      <c r="K657" s="9"/>
      <c r="L657" s="9"/>
      <c r="M657" s="9"/>
      <c r="N657" s="9"/>
      <c r="O657" s="9"/>
      <c r="P657" s="9"/>
    </row>
    <row r="658" ht="30.0" customHeight="1">
      <c r="A658" s="5"/>
      <c r="B658" s="5"/>
      <c r="C658" s="11"/>
      <c r="D658" s="5"/>
      <c r="E658" s="5"/>
      <c r="F658" s="8"/>
      <c r="G658" s="8"/>
      <c r="H658" s="9"/>
      <c r="I658" s="9"/>
      <c r="J658" s="9"/>
      <c r="K658" s="9"/>
      <c r="L658" s="9"/>
      <c r="M658" s="9"/>
      <c r="N658" s="9"/>
      <c r="O658" s="9"/>
      <c r="P658" s="9"/>
    </row>
    <row r="659" ht="30.0" customHeight="1">
      <c r="A659" s="5"/>
      <c r="B659" s="5"/>
      <c r="C659" s="11"/>
      <c r="D659" s="5"/>
      <c r="E659" s="5"/>
      <c r="F659" s="8"/>
      <c r="G659" s="8"/>
      <c r="H659" s="9"/>
      <c r="I659" s="9"/>
      <c r="J659" s="9"/>
      <c r="K659" s="9"/>
      <c r="L659" s="9"/>
      <c r="M659" s="9"/>
      <c r="N659" s="9"/>
      <c r="O659" s="9"/>
      <c r="P659" s="9"/>
    </row>
    <row r="660" ht="30.0" customHeight="1">
      <c r="A660" s="5"/>
      <c r="B660" s="5"/>
      <c r="C660" s="11"/>
      <c r="D660" s="5"/>
      <c r="E660" s="5"/>
      <c r="F660" s="8"/>
      <c r="G660" s="8"/>
      <c r="H660" s="9"/>
      <c r="I660" s="9"/>
      <c r="J660" s="9"/>
      <c r="K660" s="9"/>
      <c r="L660" s="9"/>
      <c r="M660" s="9"/>
      <c r="N660" s="9"/>
      <c r="O660" s="9"/>
      <c r="P660" s="9"/>
    </row>
    <row r="661" ht="30.0" customHeight="1">
      <c r="A661" s="5"/>
      <c r="B661" s="5"/>
      <c r="C661" s="11"/>
      <c r="D661" s="5"/>
      <c r="E661" s="5"/>
      <c r="F661" s="8"/>
      <c r="G661" s="8"/>
      <c r="H661" s="9"/>
      <c r="I661" s="9"/>
      <c r="J661" s="9"/>
      <c r="K661" s="9"/>
      <c r="L661" s="9"/>
      <c r="M661" s="9"/>
      <c r="N661" s="9"/>
      <c r="O661" s="9"/>
      <c r="P661" s="9"/>
    </row>
    <row r="662" ht="30.0" customHeight="1">
      <c r="A662" s="5"/>
      <c r="B662" s="5"/>
      <c r="C662" s="11"/>
      <c r="D662" s="5"/>
      <c r="E662" s="5"/>
      <c r="F662" s="8"/>
      <c r="G662" s="8"/>
      <c r="H662" s="9"/>
      <c r="I662" s="9"/>
      <c r="J662" s="9"/>
      <c r="K662" s="9"/>
      <c r="L662" s="9"/>
      <c r="M662" s="9"/>
      <c r="N662" s="9"/>
      <c r="O662" s="9"/>
      <c r="P662" s="9"/>
    </row>
    <row r="663" ht="30.0" customHeight="1">
      <c r="A663" s="5"/>
      <c r="B663" s="5"/>
      <c r="C663" s="11"/>
      <c r="D663" s="5"/>
      <c r="E663" s="5"/>
      <c r="F663" s="8"/>
      <c r="G663" s="8"/>
      <c r="H663" s="9"/>
      <c r="I663" s="9"/>
      <c r="J663" s="9"/>
      <c r="K663" s="9"/>
      <c r="L663" s="9"/>
      <c r="M663" s="9"/>
      <c r="N663" s="9"/>
      <c r="O663" s="9"/>
      <c r="P663" s="9"/>
    </row>
    <row r="664" ht="30.0" customHeight="1">
      <c r="A664" s="5"/>
      <c r="B664" s="5"/>
      <c r="C664" s="11"/>
      <c r="D664" s="5"/>
      <c r="E664" s="5"/>
      <c r="F664" s="8"/>
      <c r="G664" s="8"/>
      <c r="H664" s="9"/>
      <c r="I664" s="9"/>
      <c r="J664" s="9"/>
      <c r="K664" s="9"/>
      <c r="L664" s="9"/>
      <c r="M664" s="9"/>
      <c r="N664" s="9"/>
      <c r="O664" s="9"/>
      <c r="P664" s="9"/>
    </row>
    <row r="665" ht="30.0" customHeight="1">
      <c r="A665" s="5"/>
      <c r="B665" s="5"/>
      <c r="C665" s="11"/>
      <c r="D665" s="5"/>
      <c r="E665" s="5"/>
      <c r="F665" s="8"/>
      <c r="G665" s="8"/>
      <c r="H665" s="9"/>
      <c r="I665" s="9"/>
      <c r="J665" s="9"/>
      <c r="K665" s="9"/>
      <c r="L665" s="9"/>
      <c r="M665" s="9"/>
      <c r="N665" s="9"/>
      <c r="O665" s="9"/>
      <c r="P665" s="9"/>
    </row>
    <row r="666" ht="30.0" customHeight="1">
      <c r="A666" s="5"/>
      <c r="B666" s="5"/>
      <c r="C666" s="11"/>
      <c r="D666" s="5"/>
      <c r="E666" s="5"/>
      <c r="F666" s="8"/>
      <c r="G666" s="8"/>
      <c r="H666" s="9"/>
      <c r="I666" s="9"/>
      <c r="J666" s="9"/>
      <c r="K666" s="9"/>
      <c r="L666" s="9"/>
      <c r="M666" s="9"/>
      <c r="N666" s="9"/>
      <c r="O666" s="9"/>
      <c r="P666" s="9"/>
    </row>
    <row r="667" ht="30.0" customHeight="1">
      <c r="A667" s="5"/>
      <c r="B667" s="5"/>
      <c r="C667" s="11"/>
      <c r="D667" s="5"/>
      <c r="E667" s="5"/>
      <c r="F667" s="8"/>
      <c r="G667" s="8"/>
      <c r="H667" s="9"/>
      <c r="I667" s="9"/>
      <c r="J667" s="9"/>
      <c r="K667" s="9"/>
      <c r="L667" s="9"/>
      <c r="M667" s="9"/>
      <c r="N667" s="9"/>
      <c r="O667" s="9"/>
      <c r="P667" s="9"/>
    </row>
    <row r="668" ht="30.0" customHeight="1">
      <c r="A668" s="5"/>
      <c r="B668" s="5"/>
      <c r="C668" s="11"/>
      <c r="D668" s="5"/>
      <c r="E668" s="5"/>
      <c r="F668" s="8"/>
      <c r="G668" s="8"/>
      <c r="H668" s="9"/>
      <c r="I668" s="9"/>
      <c r="J668" s="9"/>
      <c r="K668" s="9"/>
      <c r="L668" s="9"/>
      <c r="M668" s="9"/>
      <c r="N668" s="9"/>
      <c r="O668" s="9"/>
      <c r="P668" s="9"/>
    </row>
    <row r="669" ht="30.0" customHeight="1">
      <c r="A669" s="5"/>
      <c r="B669" s="5"/>
      <c r="C669" s="11"/>
      <c r="D669" s="5"/>
      <c r="E669" s="5"/>
      <c r="F669" s="8"/>
      <c r="G669" s="8"/>
      <c r="H669" s="9"/>
      <c r="I669" s="9"/>
      <c r="J669" s="9"/>
      <c r="K669" s="9"/>
      <c r="L669" s="9"/>
      <c r="M669" s="9"/>
      <c r="N669" s="9"/>
      <c r="O669" s="9"/>
      <c r="P669" s="9"/>
    </row>
    <row r="670" ht="30.0" customHeight="1">
      <c r="A670" s="5"/>
      <c r="B670" s="5"/>
      <c r="C670" s="11"/>
      <c r="D670" s="5"/>
      <c r="E670" s="5"/>
      <c r="F670" s="8"/>
      <c r="G670" s="8"/>
      <c r="H670" s="9"/>
      <c r="I670" s="9"/>
      <c r="J670" s="9"/>
      <c r="K670" s="9"/>
      <c r="L670" s="9"/>
      <c r="M670" s="9"/>
      <c r="N670" s="9"/>
      <c r="O670" s="9"/>
      <c r="P670" s="9"/>
    </row>
    <row r="671" ht="30.0" customHeight="1">
      <c r="A671" s="5"/>
      <c r="B671" s="5"/>
      <c r="C671" s="11"/>
      <c r="D671" s="5"/>
      <c r="E671" s="5"/>
      <c r="F671" s="8"/>
      <c r="G671" s="8"/>
      <c r="H671" s="9"/>
      <c r="I671" s="9"/>
      <c r="J671" s="9"/>
      <c r="K671" s="9"/>
      <c r="L671" s="9"/>
      <c r="M671" s="9"/>
      <c r="N671" s="9"/>
      <c r="O671" s="9"/>
      <c r="P671" s="9"/>
    </row>
    <row r="672" ht="30.0" customHeight="1">
      <c r="A672" s="5"/>
      <c r="B672" s="5"/>
      <c r="C672" s="11"/>
      <c r="D672" s="5"/>
      <c r="E672" s="5"/>
      <c r="F672" s="8"/>
      <c r="G672" s="8"/>
      <c r="H672" s="9"/>
      <c r="I672" s="9"/>
      <c r="J672" s="9"/>
      <c r="K672" s="9"/>
      <c r="L672" s="9"/>
      <c r="M672" s="9"/>
      <c r="N672" s="9"/>
      <c r="O672" s="9"/>
      <c r="P672" s="9"/>
    </row>
    <row r="673" ht="30.0" customHeight="1">
      <c r="A673" s="5"/>
      <c r="B673" s="5"/>
      <c r="C673" s="11"/>
      <c r="D673" s="5"/>
      <c r="E673" s="5"/>
      <c r="F673" s="8"/>
      <c r="G673" s="8"/>
      <c r="H673" s="9"/>
      <c r="I673" s="9"/>
      <c r="J673" s="9"/>
      <c r="K673" s="9"/>
      <c r="L673" s="9"/>
      <c r="M673" s="9"/>
      <c r="N673" s="9"/>
      <c r="O673" s="9"/>
      <c r="P673" s="9"/>
    </row>
    <row r="674" ht="30.0" customHeight="1">
      <c r="A674" s="5"/>
      <c r="B674" s="5"/>
      <c r="C674" s="11"/>
      <c r="D674" s="5"/>
      <c r="E674" s="5"/>
      <c r="F674" s="8"/>
      <c r="G674" s="8"/>
      <c r="H674" s="9"/>
      <c r="I674" s="9"/>
      <c r="J674" s="9"/>
      <c r="K674" s="9"/>
      <c r="L674" s="9"/>
      <c r="M674" s="9"/>
      <c r="N674" s="9"/>
      <c r="O674" s="9"/>
      <c r="P674" s="9"/>
    </row>
    <row r="675" ht="30.0" customHeight="1">
      <c r="A675" s="5"/>
      <c r="B675" s="5"/>
      <c r="C675" s="11"/>
      <c r="D675" s="5"/>
      <c r="E675" s="5"/>
      <c r="F675" s="8"/>
      <c r="G675" s="8"/>
      <c r="H675" s="9"/>
      <c r="I675" s="9"/>
      <c r="J675" s="9"/>
      <c r="K675" s="9"/>
      <c r="L675" s="9"/>
      <c r="M675" s="9"/>
      <c r="N675" s="9"/>
      <c r="O675" s="9"/>
      <c r="P675" s="9"/>
    </row>
    <row r="676" ht="30.0" customHeight="1">
      <c r="A676" s="5"/>
      <c r="B676" s="5"/>
      <c r="C676" s="11"/>
      <c r="D676" s="5"/>
      <c r="E676" s="5"/>
      <c r="F676" s="8"/>
      <c r="G676" s="8"/>
      <c r="H676" s="9"/>
      <c r="I676" s="9"/>
      <c r="J676" s="9"/>
      <c r="K676" s="9"/>
      <c r="L676" s="9"/>
      <c r="M676" s="9"/>
      <c r="N676" s="9"/>
      <c r="O676" s="9"/>
      <c r="P676" s="9"/>
    </row>
    <row r="677" ht="30.0" customHeight="1">
      <c r="A677" s="5"/>
      <c r="B677" s="5"/>
      <c r="C677" s="11"/>
      <c r="D677" s="5"/>
      <c r="E677" s="5"/>
      <c r="F677" s="8"/>
      <c r="G677" s="8"/>
      <c r="H677" s="9"/>
      <c r="I677" s="9"/>
      <c r="J677" s="9"/>
      <c r="K677" s="9"/>
      <c r="L677" s="9"/>
      <c r="M677" s="9"/>
      <c r="N677" s="9"/>
      <c r="O677" s="9"/>
      <c r="P677" s="9"/>
    </row>
    <row r="678" ht="30.0" customHeight="1">
      <c r="A678" s="5"/>
      <c r="B678" s="5"/>
      <c r="C678" s="11"/>
      <c r="D678" s="5"/>
      <c r="E678" s="5"/>
      <c r="F678" s="8"/>
      <c r="G678" s="8"/>
      <c r="H678" s="9"/>
      <c r="I678" s="9"/>
      <c r="J678" s="9"/>
      <c r="K678" s="9"/>
      <c r="L678" s="9"/>
      <c r="M678" s="9"/>
      <c r="N678" s="9"/>
      <c r="O678" s="9"/>
      <c r="P678" s="9"/>
    </row>
    <row r="679" ht="30.0" customHeight="1">
      <c r="A679" s="5"/>
      <c r="B679" s="5"/>
      <c r="C679" s="11"/>
      <c r="D679" s="5"/>
      <c r="E679" s="5"/>
      <c r="F679" s="8"/>
      <c r="G679" s="8"/>
      <c r="H679" s="9"/>
      <c r="I679" s="9"/>
      <c r="J679" s="9"/>
      <c r="K679" s="9"/>
      <c r="L679" s="9"/>
      <c r="M679" s="9"/>
      <c r="N679" s="9"/>
      <c r="O679" s="9"/>
      <c r="P679" s="9"/>
    </row>
    <row r="680" ht="30.0" customHeight="1">
      <c r="A680" s="5"/>
      <c r="B680" s="5"/>
      <c r="C680" s="11"/>
      <c r="D680" s="5"/>
      <c r="E680" s="5"/>
      <c r="F680" s="8"/>
      <c r="G680" s="8"/>
      <c r="H680" s="9"/>
      <c r="I680" s="9"/>
      <c r="J680" s="9"/>
      <c r="K680" s="9"/>
      <c r="L680" s="9"/>
      <c r="M680" s="9"/>
      <c r="N680" s="9"/>
      <c r="O680" s="9"/>
      <c r="P680" s="9"/>
    </row>
    <row r="681" ht="30.0" customHeight="1">
      <c r="A681" s="5"/>
      <c r="B681" s="5"/>
      <c r="C681" s="11"/>
      <c r="D681" s="5"/>
      <c r="E681" s="5"/>
      <c r="F681" s="8"/>
      <c r="G681" s="8"/>
      <c r="H681" s="9"/>
      <c r="I681" s="9"/>
      <c r="J681" s="9"/>
      <c r="K681" s="9"/>
      <c r="L681" s="9"/>
      <c r="M681" s="9"/>
      <c r="N681" s="9"/>
      <c r="O681" s="9"/>
      <c r="P681" s="9"/>
    </row>
    <row r="682" ht="30.0" customHeight="1">
      <c r="A682" s="5"/>
      <c r="B682" s="5"/>
      <c r="C682" s="11"/>
      <c r="D682" s="5"/>
      <c r="E682" s="5"/>
      <c r="F682" s="8"/>
      <c r="G682" s="8"/>
      <c r="H682" s="9"/>
      <c r="I682" s="9"/>
      <c r="J682" s="9"/>
      <c r="K682" s="9"/>
      <c r="L682" s="9"/>
      <c r="M682" s="9"/>
      <c r="N682" s="9"/>
      <c r="O682" s="9"/>
      <c r="P682" s="9"/>
    </row>
    <row r="683" ht="30.0" customHeight="1">
      <c r="A683" s="5"/>
      <c r="B683" s="5"/>
      <c r="C683" s="11"/>
      <c r="D683" s="5"/>
      <c r="E683" s="5"/>
      <c r="F683" s="8"/>
      <c r="G683" s="8"/>
      <c r="H683" s="9"/>
      <c r="I683" s="9"/>
      <c r="J683" s="9"/>
      <c r="K683" s="9"/>
      <c r="L683" s="9"/>
      <c r="M683" s="9"/>
      <c r="N683" s="9"/>
      <c r="O683" s="9"/>
      <c r="P683" s="9"/>
    </row>
    <row r="684" ht="30.0" customHeight="1">
      <c r="A684" s="5"/>
      <c r="B684" s="5"/>
      <c r="C684" s="11"/>
      <c r="D684" s="5"/>
      <c r="E684" s="5"/>
      <c r="F684" s="8"/>
      <c r="G684" s="8"/>
      <c r="H684" s="9"/>
      <c r="I684" s="9"/>
      <c r="J684" s="9"/>
      <c r="K684" s="9"/>
      <c r="L684" s="9"/>
      <c r="M684" s="9"/>
      <c r="N684" s="9"/>
      <c r="O684" s="9"/>
      <c r="P684" s="9"/>
    </row>
    <row r="685" ht="30.0" customHeight="1">
      <c r="A685" s="5"/>
      <c r="B685" s="5"/>
      <c r="C685" s="11"/>
      <c r="D685" s="5"/>
      <c r="E685" s="5"/>
      <c r="F685" s="8"/>
      <c r="G685" s="8"/>
      <c r="H685" s="9"/>
      <c r="I685" s="9"/>
      <c r="J685" s="9"/>
      <c r="K685" s="9"/>
      <c r="L685" s="9"/>
      <c r="M685" s="9"/>
      <c r="N685" s="9"/>
      <c r="O685" s="9"/>
      <c r="P685" s="9"/>
    </row>
    <row r="686" ht="30.0" customHeight="1">
      <c r="A686" s="5"/>
      <c r="B686" s="5"/>
      <c r="C686" s="11"/>
      <c r="D686" s="5"/>
      <c r="E686" s="5"/>
      <c r="F686" s="8"/>
      <c r="G686" s="8"/>
      <c r="H686" s="9"/>
      <c r="I686" s="9"/>
      <c r="J686" s="9"/>
      <c r="K686" s="9"/>
      <c r="L686" s="9"/>
      <c r="M686" s="9"/>
      <c r="N686" s="9"/>
      <c r="O686" s="9"/>
      <c r="P686" s="9"/>
    </row>
    <row r="687" ht="30.0" customHeight="1">
      <c r="A687" s="5"/>
      <c r="B687" s="5"/>
      <c r="C687" s="11"/>
      <c r="D687" s="5"/>
      <c r="E687" s="5"/>
      <c r="F687" s="8"/>
      <c r="G687" s="8"/>
      <c r="H687" s="9"/>
      <c r="I687" s="9"/>
      <c r="J687" s="9"/>
      <c r="K687" s="9"/>
      <c r="L687" s="9"/>
      <c r="M687" s="9"/>
      <c r="N687" s="9"/>
      <c r="O687" s="9"/>
      <c r="P687" s="9"/>
    </row>
    <row r="688" ht="30.0" customHeight="1">
      <c r="A688" s="5"/>
      <c r="B688" s="5"/>
      <c r="C688" s="11"/>
      <c r="D688" s="5"/>
      <c r="E688" s="5"/>
      <c r="F688" s="8"/>
      <c r="G688" s="8"/>
      <c r="H688" s="9"/>
      <c r="I688" s="9"/>
      <c r="J688" s="9"/>
      <c r="K688" s="9"/>
      <c r="L688" s="9"/>
      <c r="M688" s="9"/>
      <c r="N688" s="9"/>
      <c r="O688" s="9"/>
      <c r="P688" s="9"/>
    </row>
    <row r="689" ht="30.0" customHeight="1">
      <c r="A689" s="5"/>
      <c r="B689" s="5"/>
      <c r="C689" s="11"/>
      <c r="D689" s="5"/>
      <c r="E689" s="5"/>
      <c r="F689" s="8"/>
      <c r="G689" s="8"/>
      <c r="H689" s="9"/>
      <c r="I689" s="9"/>
      <c r="J689" s="9"/>
      <c r="K689" s="9"/>
      <c r="L689" s="9"/>
      <c r="M689" s="9"/>
      <c r="N689" s="9"/>
      <c r="O689" s="9"/>
      <c r="P689" s="9"/>
    </row>
    <row r="690" ht="30.0" customHeight="1">
      <c r="A690" s="5"/>
      <c r="B690" s="5"/>
      <c r="C690" s="11"/>
      <c r="D690" s="5"/>
      <c r="E690" s="5"/>
      <c r="F690" s="8"/>
      <c r="G690" s="8"/>
      <c r="H690" s="9"/>
      <c r="I690" s="9"/>
      <c r="J690" s="9"/>
      <c r="K690" s="9"/>
      <c r="L690" s="9"/>
      <c r="M690" s="9"/>
      <c r="N690" s="9"/>
      <c r="O690" s="9"/>
      <c r="P690" s="9"/>
    </row>
    <row r="691" ht="30.0" customHeight="1">
      <c r="A691" s="5"/>
      <c r="B691" s="5"/>
      <c r="C691" s="11"/>
      <c r="D691" s="5"/>
      <c r="E691" s="5"/>
      <c r="F691" s="8"/>
      <c r="G691" s="8"/>
      <c r="H691" s="9"/>
      <c r="I691" s="9"/>
      <c r="J691" s="9"/>
      <c r="K691" s="9"/>
      <c r="L691" s="9"/>
      <c r="M691" s="9"/>
      <c r="N691" s="9"/>
      <c r="O691" s="9"/>
      <c r="P691" s="9"/>
    </row>
    <row r="692" ht="30.0" customHeight="1">
      <c r="A692" s="5"/>
      <c r="B692" s="5"/>
      <c r="C692" s="11"/>
      <c r="D692" s="5"/>
      <c r="E692" s="5"/>
      <c r="F692" s="8"/>
      <c r="G692" s="8"/>
      <c r="H692" s="9"/>
      <c r="I692" s="9"/>
      <c r="J692" s="9"/>
      <c r="K692" s="9"/>
      <c r="L692" s="9"/>
      <c r="M692" s="9"/>
      <c r="N692" s="9"/>
      <c r="O692" s="9"/>
      <c r="P692" s="9"/>
    </row>
    <row r="693" ht="30.0" customHeight="1">
      <c r="A693" s="5"/>
      <c r="B693" s="5"/>
      <c r="C693" s="11"/>
      <c r="D693" s="5"/>
      <c r="E693" s="5"/>
      <c r="F693" s="8"/>
      <c r="G693" s="8"/>
      <c r="H693" s="9"/>
      <c r="I693" s="9"/>
      <c r="J693" s="9"/>
      <c r="K693" s="9"/>
      <c r="L693" s="9"/>
      <c r="M693" s="9"/>
      <c r="N693" s="9"/>
      <c r="O693" s="9"/>
      <c r="P693" s="9"/>
    </row>
    <row r="694" ht="30.0" customHeight="1">
      <c r="A694" s="5"/>
      <c r="B694" s="5"/>
      <c r="C694" s="11"/>
      <c r="D694" s="5"/>
      <c r="E694" s="5"/>
      <c r="F694" s="8"/>
      <c r="G694" s="8"/>
      <c r="H694" s="9"/>
      <c r="I694" s="9"/>
      <c r="J694" s="9"/>
      <c r="K694" s="9"/>
      <c r="L694" s="9"/>
      <c r="M694" s="9"/>
      <c r="N694" s="9"/>
      <c r="O694" s="9"/>
      <c r="P694" s="9"/>
    </row>
    <row r="695" ht="30.0" customHeight="1">
      <c r="A695" s="5"/>
      <c r="B695" s="5"/>
      <c r="C695" s="11"/>
      <c r="D695" s="5"/>
      <c r="E695" s="5"/>
      <c r="F695" s="8"/>
      <c r="G695" s="8"/>
      <c r="H695" s="9"/>
      <c r="I695" s="9"/>
      <c r="J695" s="9"/>
      <c r="K695" s="9"/>
      <c r="L695" s="9"/>
      <c r="M695" s="9"/>
      <c r="N695" s="9"/>
      <c r="O695" s="9"/>
      <c r="P695" s="9"/>
    </row>
    <row r="696" ht="30.0" customHeight="1">
      <c r="A696" s="5"/>
      <c r="B696" s="5"/>
      <c r="C696" s="11"/>
      <c r="D696" s="5"/>
      <c r="E696" s="5"/>
      <c r="F696" s="8"/>
      <c r="G696" s="8"/>
      <c r="H696" s="9"/>
      <c r="I696" s="9"/>
      <c r="J696" s="9"/>
      <c r="K696" s="9"/>
      <c r="L696" s="9"/>
      <c r="M696" s="9"/>
      <c r="N696" s="9"/>
      <c r="O696" s="9"/>
      <c r="P696" s="9"/>
    </row>
    <row r="697" ht="30.0" customHeight="1">
      <c r="A697" s="5"/>
      <c r="B697" s="5"/>
      <c r="C697" s="11"/>
      <c r="D697" s="5"/>
      <c r="E697" s="5"/>
      <c r="F697" s="8"/>
      <c r="G697" s="8"/>
      <c r="H697" s="9"/>
      <c r="I697" s="9"/>
      <c r="J697" s="9"/>
      <c r="K697" s="9"/>
      <c r="L697" s="9"/>
      <c r="M697" s="9"/>
      <c r="N697" s="9"/>
      <c r="O697" s="9"/>
      <c r="P697" s="9"/>
    </row>
    <row r="698" ht="30.0" customHeight="1">
      <c r="A698" s="5"/>
      <c r="B698" s="5"/>
      <c r="C698" s="11"/>
      <c r="D698" s="5"/>
      <c r="E698" s="5"/>
      <c r="F698" s="8"/>
      <c r="G698" s="8"/>
      <c r="H698" s="9"/>
      <c r="I698" s="9"/>
      <c r="J698" s="9"/>
      <c r="K698" s="9"/>
      <c r="L698" s="9"/>
      <c r="M698" s="9"/>
      <c r="N698" s="9"/>
      <c r="O698" s="9"/>
      <c r="P698" s="9"/>
    </row>
    <row r="699" ht="30.0" customHeight="1">
      <c r="A699" s="5"/>
      <c r="B699" s="5"/>
      <c r="C699" s="11"/>
      <c r="D699" s="5"/>
      <c r="E699" s="5"/>
      <c r="F699" s="8"/>
      <c r="G699" s="8"/>
      <c r="H699" s="9"/>
      <c r="I699" s="9"/>
      <c r="J699" s="9"/>
      <c r="K699" s="9"/>
      <c r="L699" s="9"/>
      <c r="M699" s="9"/>
      <c r="N699" s="9"/>
      <c r="O699" s="9"/>
      <c r="P699" s="9"/>
    </row>
    <row r="700" ht="30.0" customHeight="1">
      <c r="A700" s="5"/>
      <c r="B700" s="5"/>
      <c r="C700" s="11"/>
      <c r="D700" s="5"/>
      <c r="E700" s="5"/>
      <c r="F700" s="8"/>
      <c r="G700" s="8"/>
      <c r="H700" s="9"/>
      <c r="I700" s="9"/>
      <c r="J700" s="9"/>
      <c r="K700" s="9"/>
      <c r="L700" s="9"/>
      <c r="M700" s="9"/>
      <c r="N700" s="9"/>
      <c r="O700" s="9"/>
      <c r="P700" s="9"/>
    </row>
    <row r="701" ht="30.0" customHeight="1">
      <c r="A701" s="5"/>
      <c r="B701" s="5"/>
      <c r="C701" s="11"/>
      <c r="D701" s="5"/>
      <c r="E701" s="5"/>
      <c r="F701" s="8"/>
      <c r="G701" s="8"/>
      <c r="H701" s="9"/>
      <c r="I701" s="9"/>
      <c r="J701" s="9"/>
      <c r="K701" s="9"/>
      <c r="L701" s="9"/>
      <c r="M701" s="9"/>
      <c r="N701" s="9"/>
      <c r="O701" s="9"/>
      <c r="P701" s="9"/>
    </row>
    <row r="702" ht="30.0" customHeight="1">
      <c r="A702" s="5"/>
      <c r="B702" s="5"/>
      <c r="C702" s="11"/>
      <c r="D702" s="5"/>
      <c r="E702" s="5"/>
      <c r="F702" s="8"/>
      <c r="G702" s="8"/>
      <c r="H702" s="9"/>
      <c r="I702" s="9"/>
      <c r="J702" s="9"/>
      <c r="K702" s="9"/>
      <c r="L702" s="9"/>
      <c r="M702" s="9"/>
      <c r="N702" s="9"/>
      <c r="O702" s="9"/>
      <c r="P702" s="9"/>
    </row>
    <row r="703" ht="30.0" customHeight="1">
      <c r="A703" s="5"/>
      <c r="B703" s="5"/>
      <c r="C703" s="11"/>
      <c r="D703" s="5"/>
      <c r="E703" s="5"/>
      <c r="F703" s="8"/>
      <c r="G703" s="8"/>
      <c r="H703" s="9"/>
      <c r="I703" s="9"/>
      <c r="J703" s="9"/>
      <c r="K703" s="9"/>
      <c r="L703" s="9"/>
      <c r="M703" s="9"/>
      <c r="N703" s="9"/>
      <c r="O703" s="9"/>
      <c r="P703" s="9"/>
    </row>
    <row r="704" ht="30.0" customHeight="1">
      <c r="A704" s="5"/>
      <c r="B704" s="5"/>
      <c r="C704" s="11"/>
      <c r="D704" s="5"/>
      <c r="E704" s="5"/>
      <c r="F704" s="8"/>
      <c r="G704" s="8"/>
      <c r="H704" s="9"/>
      <c r="I704" s="9"/>
      <c r="J704" s="9"/>
      <c r="K704" s="9"/>
      <c r="L704" s="9"/>
      <c r="M704" s="9"/>
      <c r="N704" s="9"/>
      <c r="O704" s="9"/>
      <c r="P704" s="9"/>
    </row>
    <row r="705" ht="30.0" customHeight="1">
      <c r="A705" s="5"/>
      <c r="B705" s="5"/>
      <c r="C705" s="11"/>
      <c r="D705" s="5"/>
      <c r="E705" s="5"/>
      <c r="F705" s="8"/>
      <c r="G705" s="8"/>
      <c r="H705" s="9"/>
      <c r="I705" s="9"/>
      <c r="J705" s="9"/>
      <c r="K705" s="9"/>
      <c r="L705" s="9"/>
      <c r="M705" s="9"/>
      <c r="N705" s="9"/>
      <c r="O705" s="9"/>
      <c r="P705" s="9"/>
    </row>
    <row r="706" ht="30.0" customHeight="1">
      <c r="A706" s="5"/>
      <c r="B706" s="5"/>
      <c r="C706" s="11"/>
      <c r="D706" s="5"/>
      <c r="E706" s="5"/>
      <c r="F706" s="8"/>
      <c r="G706" s="8"/>
      <c r="H706" s="9"/>
      <c r="I706" s="9"/>
      <c r="J706" s="9"/>
      <c r="K706" s="9"/>
      <c r="L706" s="9"/>
      <c r="M706" s="9"/>
      <c r="N706" s="9"/>
      <c r="O706" s="9"/>
      <c r="P706" s="9"/>
    </row>
    <row r="707" ht="30.0" customHeight="1">
      <c r="A707" s="5"/>
      <c r="B707" s="5"/>
      <c r="C707" s="11"/>
      <c r="D707" s="5"/>
      <c r="E707" s="5"/>
      <c r="F707" s="8"/>
      <c r="G707" s="8"/>
      <c r="H707" s="9"/>
      <c r="I707" s="9"/>
      <c r="J707" s="9"/>
      <c r="K707" s="9"/>
      <c r="L707" s="9"/>
      <c r="M707" s="9"/>
      <c r="N707" s="9"/>
      <c r="O707" s="9"/>
      <c r="P707" s="9"/>
    </row>
    <row r="708" ht="30.0" customHeight="1">
      <c r="A708" s="5"/>
      <c r="B708" s="5"/>
      <c r="C708" s="11"/>
      <c r="D708" s="5"/>
      <c r="E708" s="5"/>
      <c r="F708" s="8"/>
      <c r="G708" s="8"/>
      <c r="H708" s="9"/>
      <c r="I708" s="9"/>
      <c r="J708" s="9"/>
      <c r="K708" s="9"/>
      <c r="L708" s="9"/>
      <c r="M708" s="9"/>
      <c r="N708" s="9"/>
      <c r="O708" s="9"/>
      <c r="P708" s="9"/>
    </row>
    <row r="709" ht="30.0" customHeight="1">
      <c r="A709" s="5"/>
      <c r="B709" s="5"/>
      <c r="C709" s="11"/>
      <c r="D709" s="5"/>
      <c r="E709" s="5"/>
      <c r="F709" s="8"/>
      <c r="G709" s="8"/>
      <c r="H709" s="9"/>
      <c r="I709" s="9"/>
      <c r="J709" s="9"/>
      <c r="K709" s="9"/>
      <c r="L709" s="9"/>
      <c r="M709" s="9"/>
      <c r="N709" s="9"/>
      <c r="O709" s="9"/>
      <c r="P709" s="9"/>
    </row>
    <row r="710" ht="30.0" customHeight="1">
      <c r="A710" s="5"/>
      <c r="B710" s="5"/>
      <c r="C710" s="11"/>
      <c r="D710" s="5"/>
      <c r="E710" s="5"/>
      <c r="F710" s="8"/>
      <c r="G710" s="8"/>
      <c r="H710" s="9"/>
      <c r="I710" s="9"/>
      <c r="J710" s="9"/>
      <c r="K710" s="9"/>
      <c r="L710" s="9"/>
      <c r="M710" s="9"/>
      <c r="N710" s="9"/>
      <c r="O710" s="9"/>
      <c r="P710" s="9"/>
    </row>
    <row r="711" ht="30.0" customHeight="1">
      <c r="A711" s="5"/>
      <c r="B711" s="5"/>
      <c r="C711" s="11"/>
      <c r="D711" s="5"/>
      <c r="E711" s="5"/>
      <c r="F711" s="8"/>
      <c r="G711" s="8"/>
      <c r="H711" s="9"/>
      <c r="I711" s="9"/>
      <c r="J711" s="9"/>
      <c r="K711" s="9"/>
      <c r="L711" s="9"/>
      <c r="M711" s="9"/>
      <c r="N711" s="9"/>
      <c r="O711" s="9"/>
      <c r="P711" s="9"/>
    </row>
    <row r="712" ht="30.0" customHeight="1">
      <c r="A712" s="5"/>
      <c r="B712" s="5"/>
      <c r="C712" s="11"/>
      <c r="D712" s="5"/>
      <c r="E712" s="5"/>
      <c r="F712" s="8"/>
      <c r="G712" s="8"/>
      <c r="H712" s="9"/>
      <c r="I712" s="9"/>
      <c r="J712" s="9"/>
      <c r="K712" s="9"/>
      <c r="L712" s="9"/>
      <c r="M712" s="9"/>
      <c r="N712" s="9"/>
      <c r="O712" s="9"/>
      <c r="P712" s="9"/>
    </row>
    <row r="713" ht="30.0" customHeight="1">
      <c r="A713" s="5"/>
      <c r="B713" s="5"/>
      <c r="C713" s="11"/>
      <c r="D713" s="5"/>
      <c r="E713" s="5"/>
      <c r="F713" s="8"/>
      <c r="G713" s="8"/>
      <c r="H713" s="9"/>
      <c r="I713" s="9"/>
      <c r="J713" s="9"/>
      <c r="K713" s="9"/>
      <c r="L713" s="9"/>
      <c r="M713" s="9"/>
      <c r="N713" s="9"/>
      <c r="O713" s="9"/>
      <c r="P713" s="9"/>
    </row>
    <row r="714" ht="30.0" customHeight="1">
      <c r="A714" s="5"/>
      <c r="B714" s="5"/>
      <c r="C714" s="11"/>
      <c r="D714" s="5"/>
      <c r="E714" s="5"/>
      <c r="F714" s="8"/>
      <c r="G714" s="8"/>
      <c r="H714" s="9"/>
      <c r="I714" s="9"/>
      <c r="J714" s="9"/>
      <c r="K714" s="9"/>
      <c r="L714" s="9"/>
      <c r="M714" s="9"/>
      <c r="N714" s="9"/>
      <c r="O714" s="9"/>
      <c r="P714" s="9"/>
    </row>
    <row r="715" ht="30.0" customHeight="1">
      <c r="A715" s="5"/>
      <c r="B715" s="5"/>
      <c r="C715" s="11"/>
      <c r="D715" s="5"/>
      <c r="E715" s="5"/>
      <c r="F715" s="8"/>
      <c r="G715" s="8"/>
      <c r="H715" s="9"/>
      <c r="I715" s="9"/>
      <c r="J715" s="9"/>
      <c r="K715" s="9"/>
      <c r="L715" s="9"/>
      <c r="M715" s="9"/>
      <c r="N715" s="9"/>
      <c r="O715" s="9"/>
      <c r="P715" s="9"/>
    </row>
    <row r="716" ht="30.0" customHeight="1">
      <c r="A716" s="5"/>
      <c r="B716" s="5"/>
      <c r="C716" s="11"/>
      <c r="D716" s="5"/>
      <c r="E716" s="5"/>
      <c r="F716" s="8"/>
      <c r="G716" s="8"/>
      <c r="H716" s="9"/>
      <c r="I716" s="9"/>
      <c r="J716" s="9"/>
      <c r="K716" s="9"/>
      <c r="L716" s="9"/>
      <c r="M716" s="9"/>
      <c r="N716" s="9"/>
      <c r="O716" s="9"/>
      <c r="P716" s="9"/>
    </row>
    <row r="717" ht="30.0" customHeight="1">
      <c r="A717" s="5"/>
      <c r="B717" s="5"/>
      <c r="C717" s="11"/>
      <c r="D717" s="5"/>
      <c r="E717" s="5"/>
      <c r="F717" s="8"/>
      <c r="G717" s="8"/>
      <c r="H717" s="9"/>
      <c r="I717" s="9"/>
      <c r="J717" s="9"/>
      <c r="K717" s="9"/>
      <c r="L717" s="9"/>
      <c r="M717" s="9"/>
      <c r="N717" s="9"/>
      <c r="O717" s="9"/>
      <c r="P717" s="9"/>
    </row>
    <row r="718" ht="30.0" customHeight="1">
      <c r="A718" s="5"/>
      <c r="B718" s="5"/>
      <c r="C718" s="11"/>
      <c r="D718" s="5"/>
      <c r="E718" s="5"/>
      <c r="F718" s="8"/>
      <c r="G718" s="8"/>
      <c r="H718" s="9"/>
      <c r="I718" s="9"/>
      <c r="J718" s="9"/>
      <c r="K718" s="9"/>
      <c r="L718" s="9"/>
      <c r="M718" s="9"/>
      <c r="N718" s="9"/>
      <c r="O718" s="9"/>
      <c r="P718" s="9"/>
    </row>
    <row r="719" ht="30.0" customHeight="1">
      <c r="A719" s="5"/>
      <c r="B719" s="5"/>
      <c r="C719" s="11"/>
      <c r="D719" s="5"/>
      <c r="E719" s="5"/>
      <c r="F719" s="8"/>
      <c r="G719" s="8"/>
      <c r="H719" s="9"/>
      <c r="I719" s="9"/>
      <c r="J719" s="9"/>
      <c r="K719" s="9"/>
      <c r="L719" s="9"/>
      <c r="M719" s="9"/>
      <c r="N719" s="9"/>
      <c r="O719" s="9"/>
      <c r="P719" s="9"/>
    </row>
    <row r="720" ht="30.0" customHeight="1">
      <c r="A720" s="5"/>
      <c r="B720" s="5"/>
      <c r="C720" s="11"/>
      <c r="D720" s="5"/>
      <c r="E720" s="5"/>
      <c r="F720" s="8"/>
      <c r="G720" s="8"/>
      <c r="H720" s="9"/>
      <c r="I720" s="9"/>
      <c r="J720" s="9"/>
      <c r="K720" s="9"/>
      <c r="L720" s="9"/>
      <c r="M720" s="9"/>
      <c r="N720" s="9"/>
      <c r="O720" s="9"/>
      <c r="P720" s="9"/>
    </row>
    <row r="721" ht="30.0" customHeight="1">
      <c r="A721" s="5"/>
      <c r="B721" s="5"/>
      <c r="C721" s="11"/>
      <c r="D721" s="5"/>
      <c r="E721" s="5"/>
      <c r="F721" s="8"/>
      <c r="G721" s="8"/>
      <c r="H721" s="9"/>
      <c r="I721" s="9"/>
      <c r="J721" s="9"/>
      <c r="K721" s="9"/>
      <c r="L721" s="9"/>
      <c r="M721" s="9"/>
      <c r="N721" s="9"/>
      <c r="O721" s="9"/>
      <c r="P721" s="9"/>
    </row>
    <row r="722" ht="30.0" customHeight="1">
      <c r="A722" s="5"/>
      <c r="B722" s="5"/>
      <c r="C722" s="11"/>
      <c r="D722" s="5"/>
      <c r="E722" s="5"/>
      <c r="F722" s="8"/>
      <c r="G722" s="8"/>
      <c r="H722" s="9"/>
      <c r="I722" s="9"/>
      <c r="J722" s="9"/>
      <c r="K722" s="9"/>
      <c r="L722" s="9"/>
      <c r="M722" s="9"/>
      <c r="N722" s="9"/>
      <c r="O722" s="9"/>
      <c r="P722" s="9"/>
    </row>
    <row r="723" ht="30.0" customHeight="1">
      <c r="A723" s="5"/>
      <c r="B723" s="5"/>
      <c r="C723" s="11"/>
      <c r="D723" s="5"/>
      <c r="E723" s="5"/>
      <c r="F723" s="8"/>
      <c r="G723" s="8"/>
      <c r="H723" s="9"/>
      <c r="I723" s="9"/>
      <c r="J723" s="9"/>
      <c r="K723" s="9"/>
      <c r="L723" s="9"/>
      <c r="M723" s="9"/>
      <c r="N723" s="9"/>
      <c r="O723" s="9"/>
      <c r="P723" s="9"/>
    </row>
    <row r="724" ht="30.0" customHeight="1">
      <c r="A724" s="5"/>
      <c r="B724" s="5"/>
      <c r="C724" s="11"/>
      <c r="D724" s="5"/>
      <c r="E724" s="5"/>
      <c r="F724" s="8"/>
      <c r="G724" s="8"/>
      <c r="H724" s="9"/>
      <c r="I724" s="9"/>
      <c r="J724" s="9"/>
      <c r="K724" s="9"/>
      <c r="L724" s="9"/>
      <c r="M724" s="9"/>
      <c r="N724" s="9"/>
      <c r="O724" s="9"/>
      <c r="P724" s="9"/>
    </row>
    <row r="725" ht="30.0" customHeight="1">
      <c r="A725" s="5"/>
      <c r="B725" s="5"/>
      <c r="C725" s="11"/>
      <c r="D725" s="5"/>
      <c r="E725" s="5"/>
      <c r="F725" s="8"/>
      <c r="G725" s="8"/>
      <c r="H725" s="9"/>
      <c r="I725" s="9"/>
      <c r="J725" s="9"/>
      <c r="K725" s="9"/>
      <c r="L725" s="9"/>
      <c r="M725" s="9"/>
      <c r="N725" s="9"/>
      <c r="O725" s="9"/>
      <c r="P725" s="9"/>
    </row>
    <row r="726" ht="30.0" customHeight="1">
      <c r="A726" s="5"/>
      <c r="B726" s="5"/>
      <c r="C726" s="11"/>
      <c r="D726" s="5"/>
      <c r="E726" s="5"/>
      <c r="F726" s="8"/>
      <c r="G726" s="8"/>
      <c r="H726" s="9"/>
      <c r="I726" s="9"/>
      <c r="J726" s="9"/>
      <c r="K726" s="9"/>
      <c r="L726" s="9"/>
      <c r="M726" s="9"/>
      <c r="N726" s="9"/>
      <c r="O726" s="9"/>
      <c r="P726" s="9"/>
    </row>
    <row r="727" ht="30.0" customHeight="1">
      <c r="A727" s="5"/>
      <c r="B727" s="5"/>
      <c r="C727" s="11"/>
      <c r="D727" s="5"/>
      <c r="E727" s="5"/>
      <c r="F727" s="8"/>
      <c r="G727" s="8"/>
      <c r="H727" s="9"/>
      <c r="I727" s="9"/>
      <c r="J727" s="9"/>
      <c r="K727" s="9"/>
      <c r="L727" s="9"/>
      <c r="M727" s="9"/>
      <c r="N727" s="9"/>
      <c r="O727" s="9"/>
      <c r="P727" s="9"/>
    </row>
    <row r="728" ht="30.0" customHeight="1">
      <c r="A728" s="5"/>
      <c r="B728" s="5"/>
      <c r="C728" s="11"/>
      <c r="D728" s="5"/>
      <c r="E728" s="5"/>
      <c r="F728" s="8"/>
      <c r="G728" s="8"/>
      <c r="H728" s="9"/>
      <c r="I728" s="9"/>
      <c r="J728" s="9"/>
      <c r="K728" s="9"/>
      <c r="L728" s="9"/>
      <c r="M728" s="9"/>
      <c r="N728" s="9"/>
      <c r="O728" s="9"/>
      <c r="P728" s="9"/>
    </row>
    <row r="729" ht="30.0" customHeight="1">
      <c r="A729" s="5"/>
      <c r="B729" s="5"/>
      <c r="C729" s="11"/>
      <c r="D729" s="5"/>
      <c r="E729" s="5"/>
      <c r="F729" s="8"/>
      <c r="G729" s="8"/>
      <c r="H729" s="9"/>
      <c r="I729" s="9"/>
      <c r="J729" s="9"/>
      <c r="K729" s="9"/>
      <c r="L729" s="9"/>
      <c r="M729" s="9"/>
      <c r="N729" s="9"/>
      <c r="O729" s="9"/>
      <c r="P729" s="9"/>
    </row>
    <row r="730" ht="30.0" customHeight="1">
      <c r="A730" s="5"/>
      <c r="B730" s="5"/>
      <c r="C730" s="11"/>
      <c r="D730" s="5"/>
      <c r="E730" s="5"/>
      <c r="F730" s="8"/>
      <c r="G730" s="8"/>
      <c r="H730" s="9"/>
      <c r="I730" s="9"/>
      <c r="J730" s="9"/>
      <c r="K730" s="9"/>
      <c r="L730" s="9"/>
      <c r="M730" s="9"/>
      <c r="N730" s="9"/>
      <c r="O730" s="9"/>
      <c r="P730" s="9"/>
    </row>
    <row r="731" ht="30.0" customHeight="1">
      <c r="A731" s="5"/>
      <c r="B731" s="5"/>
      <c r="C731" s="11"/>
      <c r="D731" s="5"/>
      <c r="E731" s="5"/>
      <c r="F731" s="8"/>
      <c r="G731" s="8"/>
      <c r="H731" s="9"/>
      <c r="I731" s="9"/>
      <c r="J731" s="9"/>
      <c r="K731" s="9"/>
      <c r="L731" s="9"/>
      <c r="M731" s="9"/>
      <c r="N731" s="9"/>
      <c r="O731" s="9"/>
      <c r="P731" s="9"/>
    </row>
    <row r="732" ht="30.0" customHeight="1">
      <c r="A732" s="5"/>
      <c r="B732" s="5"/>
      <c r="C732" s="11"/>
      <c r="D732" s="5"/>
      <c r="E732" s="5"/>
      <c r="F732" s="8"/>
      <c r="G732" s="8"/>
      <c r="H732" s="9"/>
      <c r="I732" s="9"/>
      <c r="J732" s="9"/>
      <c r="K732" s="9"/>
      <c r="L732" s="9"/>
      <c r="M732" s="9"/>
      <c r="N732" s="9"/>
      <c r="O732" s="9"/>
      <c r="P732" s="9"/>
    </row>
    <row r="733" ht="30.0" customHeight="1">
      <c r="A733" s="5"/>
      <c r="B733" s="5"/>
      <c r="C733" s="11"/>
      <c r="D733" s="5"/>
      <c r="E733" s="5"/>
      <c r="F733" s="8"/>
      <c r="G733" s="8"/>
      <c r="H733" s="9"/>
      <c r="I733" s="9"/>
      <c r="J733" s="9"/>
      <c r="K733" s="9"/>
      <c r="L733" s="9"/>
      <c r="M733" s="9"/>
      <c r="N733" s="9"/>
      <c r="O733" s="9"/>
      <c r="P733" s="9"/>
    </row>
    <row r="734" ht="30.0" customHeight="1">
      <c r="A734" s="5"/>
      <c r="B734" s="5"/>
      <c r="C734" s="11"/>
      <c r="D734" s="5"/>
      <c r="E734" s="5"/>
      <c r="F734" s="8"/>
      <c r="G734" s="8"/>
      <c r="H734" s="9"/>
      <c r="I734" s="9"/>
      <c r="J734" s="9"/>
      <c r="K734" s="9"/>
      <c r="L734" s="9"/>
      <c r="M734" s="9"/>
      <c r="N734" s="9"/>
      <c r="O734" s="9"/>
      <c r="P734" s="9"/>
    </row>
    <row r="735" ht="30.0" customHeight="1">
      <c r="A735" s="5"/>
      <c r="B735" s="5"/>
      <c r="C735" s="11"/>
      <c r="D735" s="5"/>
      <c r="E735" s="5"/>
      <c r="F735" s="8"/>
      <c r="G735" s="8"/>
      <c r="H735" s="9"/>
      <c r="I735" s="9"/>
      <c r="J735" s="9"/>
      <c r="K735" s="9"/>
      <c r="L735" s="9"/>
      <c r="M735" s="9"/>
      <c r="N735" s="9"/>
      <c r="O735" s="9"/>
      <c r="P735" s="9"/>
    </row>
    <row r="736" ht="30.0" customHeight="1">
      <c r="A736" s="5"/>
      <c r="B736" s="5"/>
      <c r="C736" s="11"/>
      <c r="D736" s="5"/>
      <c r="E736" s="5"/>
      <c r="F736" s="8"/>
      <c r="G736" s="8"/>
      <c r="H736" s="9"/>
      <c r="I736" s="9"/>
      <c r="J736" s="9"/>
      <c r="K736" s="9"/>
      <c r="L736" s="9"/>
      <c r="M736" s="9"/>
      <c r="N736" s="9"/>
      <c r="O736" s="9"/>
      <c r="P736" s="9"/>
    </row>
    <row r="737" ht="30.0" customHeight="1">
      <c r="A737" s="5"/>
      <c r="B737" s="5"/>
      <c r="C737" s="11"/>
      <c r="D737" s="5"/>
      <c r="E737" s="5"/>
      <c r="F737" s="8"/>
      <c r="G737" s="8"/>
      <c r="H737" s="9"/>
      <c r="I737" s="9"/>
      <c r="J737" s="9"/>
      <c r="K737" s="9"/>
      <c r="L737" s="9"/>
      <c r="M737" s="9"/>
      <c r="N737" s="9"/>
      <c r="O737" s="9"/>
      <c r="P737" s="9"/>
    </row>
    <row r="738" ht="30.0" customHeight="1">
      <c r="A738" s="5"/>
      <c r="B738" s="5"/>
      <c r="C738" s="11"/>
      <c r="D738" s="5"/>
      <c r="E738" s="5"/>
      <c r="F738" s="8"/>
      <c r="G738" s="8"/>
      <c r="H738" s="9"/>
      <c r="I738" s="9"/>
      <c r="J738" s="9"/>
      <c r="K738" s="9"/>
      <c r="L738" s="9"/>
      <c r="M738" s="9"/>
      <c r="N738" s="9"/>
      <c r="O738" s="9"/>
      <c r="P738" s="9"/>
    </row>
    <row r="739" ht="30.0" customHeight="1">
      <c r="A739" s="5"/>
      <c r="B739" s="5"/>
      <c r="C739" s="11"/>
      <c r="D739" s="5"/>
      <c r="E739" s="5"/>
      <c r="F739" s="8"/>
      <c r="G739" s="8"/>
      <c r="H739" s="9"/>
      <c r="I739" s="9"/>
      <c r="J739" s="9"/>
      <c r="K739" s="9"/>
      <c r="L739" s="9"/>
      <c r="M739" s="9"/>
      <c r="N739" s="9"/>
      <c r="O739" s="9"/>
      <c r="P739" s="9"/>
    </row>
    <row r="740" ht="30.0" customHeight="1">
      <c r="A740" s="5"/>
      <c r="B740" s="5"/>
      <c r="C740" s="11"/>
      <c r="D740" s="5"/>
      <c r="E740" s="5"/>
      <c r="F740" s="8"/>
      <c r="G740" s="8"/>
      <c r="H740" s="9"/>
      <c r="I740" s="9"/>
      <c r="J740" s="9"/>
      <c r="K740" s="9"/>
      <c r="L740" s="9"/>
      <c r="M740" s="9"/>
      <c r="N740" s="9"/>
      <c r="O740" s="9"/>
      <c r="P740" s="9"/>
    </row>
    <row r="741" ht="30.0" customHeight="1">
      <c r="A741" s="5"/>
      <c r="B741" s="5"/>
      <c r="C741" s="11"/>
      <c r="D741" s="5"/>
      <c r="E741" s="5"/>
      <c r="F741" s="8"/>
      <c r="G741" s="8"/>
      <c r="H741" s="9"/>
      <c r="I741" s="9"/>
      <c r="J741" s="9"/>
      <c r="K741" s="9"/>
      <c r="L741" s="9"/>
      <c r="M741" s="9"/>
      <c r="N741" s="9"/>
      <c r="O741" s="9"/>
      <c r="P741" s="9"/>
    </row>
    <row r="742" ht="30.0" customHeight="1">
      <c r="A742" s="5"/>
      <c r="B742" s="5"/>
      <c r="C742" s="11"/>
      <c r="D742" s="5"/>
      <c r="E742" s="5"/>
      <c r="F742" s="8"/>
      <c r="G742" s="8"/>
      <c r="H742" s="9"/>
      <c r="I742" s="9"/>
      <c r="J742" s="9"/>
      <c r="K742" s="9"/>
      <c r="L742" s="9"/>
      <c r="M742" s="9"/>
      <c r="N742" s="9"/>
      <c r="O742" s="9"/>
      <c r="P742" s="9"/>
    </row>
    <row r="743" ht="30.0" customHeight="1">
      <c r="A743" s="5"/>
      <c r="B743" s="5"/>
      <c r="C743" s="11"/>
      <c r="D743" s="5"/>
      <c r="E743" s="5"/>
      <c r="F743" s="8"/>
      <c r="G743" s="8"/>
      <c r="H743" s="9"/>
      <c r="I743" s="9"/>
      <c r="J743" s="9"/>
      <c r="K743" s="9"/>
      <c r="L743" s="9"/>
      <c r="M743" s="9"/>
      <c r="N743" s="9"/>
      <c r="O743" s="9"/>
      <c r="P743" s="9"/>
    </row>
    <row r="744" ht="30.0" customHeight="1">
      <c r="A744" s="5"/>
      <c r="B744" s="5"/>
      <c r="C744" s="11"/>
      <c r="D744" s="5"/>
      <c r="E744" s="5"/>
      <c r="F744" s="8"/>
      <c r="G744" s="8"/>
      <c r="H744" s="9"/>
      <c r="I744" s="9"/>
      <c r="J744" s="9"/>
      <c r="K744" s="9"/>
      <c r="L744" s="9"/>
      <c r="M744" s="9"/>
      <c r="N744" s="9"/>
      <c r="O744" s="9"/>
      <c r="P744" s="9"/>
    </row>
    <row r="745" ht="30.0" customHeight="1">
      <c r="A745" s="5"/>
      <c r="B745" s="5"/>
      <c r="C745" s="11"/>
      <c r="D745" s="5"/>
      <c r="E745" s="5"/>
      <c r="F745" s="8"/>
      <c r="G745" s="8"/>
      <c r="H745" s="9"/>
      <c r="I745" s="9"/>
      <c r="J745" s="9"/>
      <c r="K745" s="9"/>
      <c r="L745" s="9"/>
      <c r="M745" s="9"/>
      <c r="N745" s="9"/>
      <c r="O745" s="9"/>
      <c r="P745" s="9"/>
    </row>
    <row r="746" ht="30.0" customHeight="1">
      <c r="A746" s="5"/>
      <c r="B746" s="5"/>
      <c r="C746" s="11"/>
      <c r="D746" s="5"/>
      <c r="E746" s="5"/>
      <c r="F746" s="8"/>
      <c r="G746" s="8"/>
      <c r="H746" s="9"/>
      <c r="I746" s="9"/>
      <c r="J746" s="9"/>
      <c r="K746" s="9"/>
      <c r="L746" s="9"/>
      <c r="M746" s="9"/>
      <c r="N746" s="9"/>
      <c r="O746" s="9"/>
      <c r="P746" s="9"/>
    </row>
    <row r="747" ht="30.0" customHeight="1">
      <c r="A747" s="5"/>
      <c r="B747" s="5"/>
      <c r="C747" s="11"/>
      <c r="D747" s="5"/>
      <c r="E747" s="5"/>
      <c r="F747" s="8"/>
      <c r="G747" s="8"/>
      <c r="H747" s="9"/>
      <c r="I747" s="9"/>
      <c r="J747" s="9"/>
      <c r="K747" s="9"/>
      <c r="L747" s="9"/>
      <c r="M747" s="9"/>
      <c r="N747" s="9"/>
      <c r="O747" s="9"/>
      <c r="P747" s="9"/>
    </row>
    <row r="748" ht="30.0" customHeight="1">
      <c r="A748" s="5"/>
      <c r="B748" s="5"/>
      <c r="C748" s="11"/>
      <c r="D748" s="5"/>
      <c r="E748" s="5"/>
      <c r="F748" s="8"/>
      <c r="G748" s="8"/>
      <c r="H748" s="9"/>
      <c r="I748" s="9"/>
      <c r="J748" s="9"/>
      <c r="K748" s="9"/>
      <c r="L748" s="9"/>
      <c r="M748" s="9"/>
      <c r="N748" s="9"/>
      <c r="O748" s="9"/>
      <c r="P748" s="9"/>
    </row>
    <row r="749" ht="30.0" customHeight="1">
      <c r="A749" s="5"/>
      <c r="B749" s="5"/>
      <c r="C749" s="11"/>
      <c r="D749" s="5"/>
      <c r="E749" s="5"/>
      <c r="F749" s="8"/>
      <c r="G749" s="8"/>
      <c r="H749" s="9"/>
      <c r="I749" s="9"/>
      <c r="J749" s="9"/>
      <c r="K749" s="9"/>
      <c r="L749" s="9"/>
      <c r="M749" s="9"/>
      <c r="N749" s="9"/>
      <c r="O749" s="9"/>
      <c r="P749" s="9"/>
    </row>
    <row r="750" ht="30.0" customHeight="1">
      <c r="A750" s="5"/>
      <c r="B750" s="5"/>
      <c r="C750" s="11"/>
      <c r="D750" s="5"/>
      <c r="E750" s="5"/>
      <c r="F750" s="8"/>
      <c r="G750" s="8"/>
      <c r="H750" s="9"/>
      <c r="I750" s="9"/>
      <c r="J750" s="9"/>
      <c r="K750" s="9"/>
      <c r="L750" s="9"/>
      <c r="M750" s="9"/>
      <c r="N750" s="9"/>
      <c r="O750" s="9"/>
      <c r="P750" s="9"/>
    </row>
    <row r="751" ht="30.0" customHeight="1">
      <c r="A751" s="5"/>
      <c r="B751" s="5"/>
      <c r="C751" s="11"/>
      <c r="D751" s="5"/>
      <c r="E751" s="5"/>
      <c r="F751" s="8"/>
      <c r="G751" s="8"/>
      <c r="H751" s="9"/>
      <c r="I751" s="9"/>
      <c r="J751" s="9"/>
      <c r="K751" s="9"/>
      <c r="L751" s="9"/>
      <c r="M751" s="9"/>
      <c r="N751" s="9"/>
      <c r="O751" s="9"/>
      <c r="P751" s="9"/>
    </row>
    <row r="752" ht="30.0" customHeight="1">
      <c r="A752" s="5"/>
      <c r="B752" s="5"/>
      <c r="C752" s="11"/>
      <c r="D752" s="5"/>
      <c r="E752" s="5"/>
      <c r="F752" s="8"/>
      <c r="G752" s="8"/>
      <c r="H752" s="9"/>
      <c r="I752" s="9"/>
      <c r="J752" s="9"/>
      <c r="K752" s="9"/>
      <c r="L752" s="9"/>
      <c r="M752" s="9"/>
      <c r="N752" s="9"/>
      <c r="O752" s="9"/>
      <c r="P752" s="9"/>
    </row>
    <row r="753" ht="30.0" customHeight="1">
      <c r="A753" s="5"/>
      <c r="B753" s="5"/>
      <c r="C753" s="11"/>
      <c r="D753" s="5"/>
      <c r="E753" s="5"/>
      <c r="F753" s="8"/>
      <c r="G753" s="8"/>
      <c r="H753" s="9"/>
      <c r="I753" s="9"/>
      <c r="J753" s="9"/>
      <c r="K753" s="9"/>
      <c r="L753" s="9"/>
      <c r="M753" s="9"/>
      <c r="N753" s="9"/>
      <c r="O753" s="9"/>
      <c r="P753" s="9"/>
    </row>
    <row r="754" ht="30.0" customHeight="1">
      <c r="A754" s="5"/>
      <c r="B754" s="5"/>
      <c r="C754" s="11"/>
      <c r="D754" s="5"/>
      <c r="E754" s="5"/>
      <c r="F754" s="8"/>
      <c r="G754" s="8"/>
      <c r="H754" s="9"/>
      <c r="I754" s="9"/>
      <c r="J754" s="9"/>
      <c r="K754" s="9"/>
      <c r="L754" s="9"/>
      <c r="M754" s="9"/>
      <c r="N754" s="9"/>
      <c r="O754" s="9"/>
      <c r="P754" s="9"/>
    </row>
    <row r="755" ht="30.0" customHeight="1">
      <c r="A755" s="5"/>
      <c r="B755" s="5"/>
      <c r="C755" s="11"/>
      <c r="D755" s="5"/>
      <c r="E755" s="5"/>
      <c r="F755" s="8"/>
      <c r="G755" s="8"/>
      <c r="H755" s="9"/>
      <c r="I755" s="9"/>
      <c r="J755" s="9"/>
      <c r="K755" s="9"/>
      <c r="L755" s="9"/>
      <c r="M755" s="9"/>
      <c r="N755" s="9"/>
      <c r="O755" s="9"/>
      <c r="P755" s="9"/>
    </row>
    <row r="756" ht="30.0" customHeight="1">
      <c r="A756" s="5"/>
      <c r="B756" s="5"/>
      <c r="C756" s="11"/>
      <c r="D756" s="5"/>
      <c r="E756" s="5"/>
      <c r="F756" s="8"/>
      <c r="G756" s="8"/>
      <c r="H756" s="9"/>
      <c r="I756" s="9"/>
      <c r="J756" s="9"/>
      <c r="K756" s="9"/>
      <c r="L756" s="9"/>
      <c r="M756" s="9"/>
      <c r="N756" s="9"/>
      <c r="O756" s="9"/>
      <c r="P756" s="9"/>
    </row>
    <row r="757" ht="30.0" customHeight="1">
      <c r="A757" s="5"/>
      <c r="B757" s="5"/>
      <c r="C757" s="11"/>
      <c r="D757" s="5"/>
      <c r="E757" s="5"/>
      <c r="F757" s="8"/>
      <c r="G757" s="8"/>
      <c r="H757" s="9"/>
      <c r="I757" s="9"/>
      <c r="J757" s="9"/>
      <c r="K757" s="9"/>
      <c r="L757" s="9"/>
      <c r="M757" s="9"/>
      <c r="N757" s="9"/>
      <c r="O757" s="9"/>
      <c r="P757" s="9"/>
    </row>
    <row r="758" ht="30.0" customHeight="1">
      <c r="A758" s="5"/>
      <c r="B758" s="5"/>
      <c r="C758" s="11"/>
      <c r="D758" s="5"/>
      <c r="E758" s="5"/>
      <c r="F758" s="8"/>
      <c r="G758" s="8"/>
      <c r="H758" s="9"/>
      <c r="I758" s="9"/>
      <c r="J758" s="9"/>
      <c r="K758" s="9"/>
      <c r="L758" s="9"/>
      <c r="M758" s="9"/>
      <c r="N758" s="9"/>
      <c r="O758" s="9"/>
      <c r="P758" s="9"/>
    </row>
    <row r="759" ht="30.0" customHeight="1">
      <c r="A759" s="5"/>
      <c r="B759" s="5"/>
      <c r="C759" s="11"/>
      <c r="D759" s="5"/>
      <c r="E759" s="5"/>
      <c r="F759" s="8"/>
      <c r="G759" s="8"/>
      <c r="H759" s="9"/>
      <c r="I759" s="9"/>
      <c r="J759" s="9"/>
      <c r="K759" s="9"/>
      <c r="L759" s="9"/>
      <c r="M759" s="9"/>
      <c r="N759" s="9"/>
      <c r="O759" s="9"/>
      <c r="P759" s="9"/>
    </row>
    <row r="760" ht="30.0" customHeight="1">
      <c r="A760" s="5"/>
      <c r="B760" s="5"/>
      <c r="C760" s="11"/>
      <c r="D760" s="5"/>
      <c r="E760" s="5"/>
      <c r="F760" s="8"/>
      <c r="G760" s="8"/>
      <c r="H760" s="9"/>
      <c r="I760" s="9"/>
      <c r="J760" s="9"/>
      <c r="K760" s="9"/>
      <c r="L760" s="9"/>
      <c r="M760" s="9"/>
      <c r="N760" s="9"/>
      <c r="O760" s="9"/>
      <c r="P760" s="9"/>
    </row>
    <row r="761" ht="30.0" customHeight="1">
      <c r="A761" s="5"/>
      <c r="B761" s="5"/>
      <c r="C761" s="11"/>
      <c r="D761" s="5"/>
      <c r="E761" s="5"/>
      <c r="F761" s="8"/>
      <c r="G761" s="8"/>
      <c r="H761" s="9"/>
      <c r="I761" s="9"/>
      <c r="J761" s="9"/>
      <c r="K761" s="9"/>
      <c r="L761" s="9"/>
      <c r="M761" s="9"/>
      <c r="N761" s="9"/>
      <c r="O761" s="9"/>
      <c r="P761" s="9"/>
    </row>
    <row r="762" ht="30.0" customHeight="1">
      <c r="A762" s="5"/>
      <c r="B762" s="5"/>
      <c r="C762" s="11"/>
      <c r="D762" s="5"/>
      <c r="E762" s="5"/>
      <c r="F762" s="8"/>
      <c r="G762" s="8"/>
      <c r="H762" s="9"/>
      <c r="I762" s="9"/>
      <c r="J762" s="9"/>
      <c r="K762" s="9"/>
      <c r="L762" s="9"/>
      <c r="M762" s="9"/>
      <c r="N762" s="9"/>
      <c r="O762" s="9"/>
      <c r="P762" s="9"/>
    </row>
    <row r="763" ht="30.0" customHeight="1">
      <c r="A763" s="5"/>
      <c r="B763" s="5"/>
      <c r="C763" s="11"/>
      <c r="D763" s="5"/>
      <c r="E763" s="5"/>
      <c r="F763" s="8"/>
      <c r="G763" s="8"/>
      <c r="H763" s="9"/>
      <c r="I763" s="9"/>
      <c r="J763" s="9"/>
      <c r="K763" s="9"/>
      <c r="L763" s="9"/>
      <c r="M763" s="9"/>
      <c r="N763" s="9"/>
      <c r="O763" s="9"/>
      <c r="P763" s="9"/>
    </row>
    <row r="764" ht="30.0" customHeight="1">
      <c r="A764" s="5"/>
      <c r="B764" s="5"/>
      <c r="C764" s="11"/>
      <c r="D764" s="5"/>
      <c r="E764" s="5"/>
      <c r="F764" s="8"/>
      <c r="G764" s="8"/>
      <c r="H764" s="9"/>
      <c r="I764" s="9"/>
      <c r="J764" s="9"/>
      <c r="K764" s="9"/>
      <c r="L764" s="9"/>
      <c r="M764" s="9"/>
      <c r="N764" s="9"/>
      <c r="O764" s="9"/>
      <c r="P764" s="9"/>
    </row>
    <row r="765" ht="30.0" customHeight="1">
      <c r="A765" s="5"/>
      <c r="B765" s="5"/>
      <c r="C765" s="11"/>
      <c r="D765" s="5"/>
      <c r="E765" s="5"/>
      <c r="F765" s="8"/>
      <c r="G765" s="8"/>
      <c r="H765" s="9"/>
      <c r="I765" s="9"/>
      <c r="J765" s="9"/>
      <c r="K765" s="9"/>
      <c r="L765" s="9"/>
      <c r="M765" s="9"/>
      <c r="N765" s="9"/>
      <c r="O765" s="9"/>
      <c r="P765" s="9"/>
    </row>
    <row r="766" ht="30.0" customHeight="1">
      <c r="A766" s="5"/>
      <c r="B766" s="5"/>
      <c r="C766" s="11"/>
      <c r="D766" s="5"/>
      <c r="E766" s="5"/>
      <c r="F766" s="8"/>
      <c r="G766" s="8"/>
      <c r="H766" s="9"/>
      <c r="I766" s="9"/>
      <c r="J766" s="9"/>
      <c r="K766" s="9"/>
      <c r="L766" s="9"/>
      <c r="M766" s="9"/>
      <c r="N766" s="9"/>
      <c r="O766" s="9"/>
      <c r="P766" s="9"/>
    </row>
    <row r="767" ht="30.0" customHeight="1">
      <c r="A767" s="5"/>
      <c r="B767" s="5"/>
      <c r="C767" s="11"/>
      <c r="D767" s="5"/>
      <c r="E767" s="5"/>
      <c r="F767" s="8"/>
      <c r="G767" s="8"/>
      <c r="H767" s="9"/>
      <c r="I767" s="9"/>
      <c r="J767" s="9"/>
      <c r="K767" s="9"/>
      <c r="L767" s="9"/>
      <c r="M767" s="9"/>
      <c r="N767" s="9"/>
      <c r="O767" s="9"/>
      <c r="P767" s="9"/>
    </row>
    <row r="768" ht="30.0" customHeight="1">
      <c r="A768" s="5"/>
      <c r="B768" s="5"/>
      <c r="C768" s="11"/>
      <c r="D768" s="5"/>
      <c r="E768" s="5"/>
      <c r="F768" s="8"/>
      <c r="G768" s="8"/>
      <c r="H768" s="9"/>
      <c r="I768" s="9"/>
      <c r="J768" s="9"/>
      <c r="K768" s="9"/>
      <c r="L768" s="9"/>
      <c r="M768" s="9"/>
      <c r="N768" s="9"/>
      <c r="O768" s="9"/>
      <c r="P768" s="9"/>
    </row>
    <row r="769" ht="30.0" customHeight="1">
      <c r="A769" s="5"/>
      <c r="B769" s="5"/>
      <c r="C769" s="11"/>
      <c r="D769" s="5"/>
      <c r="E769" s="5"/>
      <c r="F769" s="8"/>
      <c r="G769" s="8"/>
      <c r="H769" s="9"/>
      <c r="I769" s="9"/>
      <c r="J769" s="9"/>
      <c r="K769" s="9"/>
      <c r="L769" s="9"/>
      <c r="M769" s="9"/>
      <c r="N769" s="9"/>
      <c r="O769" s="9"/>
      <c r="P769" s="9"/>
    </row>
    <row r="770" ht="30.0" customHeight="1">
      <c r="A770" s="5"/>
      <c r="B770" s="5"/>
      <c r="C770" s="11"/>
      <c r="D770" s="5"/>
      <c r="E770" s="5"/>
      <c r="F770" s="8"/>
      <c r="G770" s="8"/>
      <c r="H770" s="9"/>
      <c r="I770" s="9"/>
      <c r="J770" s="9"/>
      <c r="K770" s="9"/>
      <c r="L770" s="9"/>
      <c r="M770" s="9"/>
      <c r="N770" s="9"/>
      <c r="O770" s="9"/>
      <c r="P770" s="9"/>
    </row>
    <row r="771" ht="30.0" customHeight="1">
      <c r="A771" s="5"/>
      <c r="B771" s="5"/>
      <c r="C771" s="11"/>
      <c r="D771" s="5"/>
      <c r="E771" s="5"/>
      <c r="F771" s="8"/>
      <c r="G771" s="8"/>
      <c r="H771" s="9"/>
      <c r="I771" s="9"/>
      <c r="J771" s="9"/>
      <c r="K771" s="9"/>
      <c r="L771" s="9"/>
      <c r="M771" s="9"/>
      <c r="N771" s="9"/>
      <c r="O771" s="9"/>
      <c r="P771" s="9"/>
    </row>
    <row r="772" ht="30.0" customHeight="1">
      <c r="A772" s="5"/>
      <c r="B772" s="5"/>
      <c r="C772" s="11"/>
      <c r="D772" s="5"/>
      <c r="E772" s="5"/>
      <c r="F772" s="8"/>
      <c r="G772" s="8"/>
      <c r="H772" s="9"/>
      <c r="I772" s="9"/>
      <c r="J772" s="9"/>
      <c r="K772" s="9"/>
      <c r="L772" s="9"/>
      <c r="M772" s="9"/>
      <c r="N772" s="9"/>
      <c r="O772" s="9"/>
      <c r="P772" s="9"/>
    </row>
    <row r="773" ht="30.0" customHeight="1">
      <c r="A773" s="5"/>
      <c r="B773" s="5"/>
      <c r="C773" s="11"/>
      <c r="D773" s="5"/>
      <c r="E773" s="5"/>
      <c r="F773" s="8"/>
      <c r="G773" s="8"/>
      <c r="H773" s="9"/>
      <c r="I773" s="9"/>
      <c r="J773" s="9"/>
      <c r="K773" s="9"/>
      <c r="L773" s="9"/>
      <c r="M773" s="9"/>
      <c r="N773" s="9"/>
      <c r="O773" s="9"/>
      <c r="P773" s="9"/>
    </row>
    <row r="774" ht="30.0" customHeight="1">
      <c r="A774" s="5"/>
      <c r="B774" s="5"/>
      <c r="C774" s="11"/>
      <c r="D774" s="5"/>
      <c r="E774" s="5"/>
      <c r="F774" s="8"/>
      <c r="G774" s="8"/>
      <c r="H774" s="9"/>
      <c r="I774" s="9"/>
      <c r="J774" s="9"/>
      <c r="K774" s="9"/>
      <c r="L774" s="9"/>
      <c r="M774" s="9"/>
      <c r="N774" s="9"/>
      <c r="O774" s="9"/>
      <c r="P774" s="9"/>
    </row>
    <row r="775" ht="30.0" customHeight="1">
      <c r="A775" s="5"/>
      <c r="B775" s="5"/>
      <c r="C775" s="11"/>
      <c r="D775" s="5"/>
      <c r="E775" s="5"/>
      <c r="F775" s="8"/>
      <c r="G775" s="8"/>
      <c r="H775" s="9"/>
      <c r="I775" s="9"/>
      <c r="J775" s="9"/>
      <c r="K775" s="9"/>
      <c r="L775" s="9"/>
      <c r="M775" s="9"/>
      <c r="N775" s="9"/>
      <c r="O775" s="9"/>
      <c r="P775" s="9"/>
    </row>
    <row r="776" ht="30.0" customHeight="1">
      <c r="A776" s="5"/>
      <c r="B776" s="5"/>
      <c r="C776" s="11"/>
      <c r="D776" s="5"/>
      <c r="E776" s="5"/>
      <c r="F776" s="8"/>
      <c r="G776" s="8"/>
      <c r="H776" s="9"/>
      <c r="I776" s="9"/>
      <c r="J776" s="9"/>
      <c r="K776" s="9"/>
      <c r="L776" s="9"/>
      <c r="M776" s="9"/>
      <c r="N776" s="9"/>
      <c r="O776" s="9"/>
      <c r="P776" s="9"/>
    </row>
    <row r="777" ht="30.0" customHeight="1">
      <c r="A777" s="5"/>
      <c r="B777" s="5"/>
      <c r="C777" s="11"/>
      <c r="D777" s="5"/>
      <c r="E777" s="5"/>
      <c r="F777" s="8"/>
      <c r="G777" s="8"/>
      <c r="H777" s="9"/>
      <c r="I777" s="9"/>
      <c r="J777" s="9"/>
      <c r="K777" s="9"/>
      <c r="L777" s="9"/>
      <c r="M777" s="9"/>
      <c r="N777" s="9"/>
      <c r="O777" s="9"/>
      <c r="P777" s="9"/>
    </row>
    <row r="778" ht="30.0" customHeight="1">
      <c r="A778" s="5"/>
      <c r="B778" s="5"/>
      <c r="C778" s="11"/>
      <c r="D778" s="5"/>
      <c r="E778" s="5"/>
      <c r="F778" s="8"/>
      <c r="G778" s="8"/>
      <c r="H778" s="9"/>
      <c r="I778" s="9"/>
      <c r="J778" s="9"/>
      <c r="K778" s="9"/>
      <c r="L778" s="9"/>
      <c r="M778" s="9"/>
      <c r="N778" s="9"/>
      <c r="O778" s="9"/>
      <c r="P778" s="9"/>
    </row>
    <row r="779" ht="30.0" customHeight="1">
      <c r="A779" s="5"/>
      <c r="B779" s="5"/>
      <c r="C779" s="11"/>
      <c r="D779" s="5"/>
      <c r="E779" s="5"/>
      <c r="F779" s="8"/>
      <c r="G779" s="8"/>
      <c r="H779" s="9"/>
      <c r="I779" s="9"/>
      <c r="J779" s="9"/>
      <c r="K779" s="9"/>
      <c r="L779" s="9"/>
      <c r="M779" s="9"/>
      <c r="N779" s="9"/>
      <c r="O779" s="9"/>
      <c r="P779" s="9"/>
    </row>
    <row r="780" ht="30.0" customHeight="1">
      <c r="A780" s="5"/>
      <c r="B780" s="5"/>
      <c r="C780" s="11"/>
      <c r="D780" s="5"/>
      <c r="E780" s="5"/>
      <c r="F780" s="8"/>
      <c r="G780" s="8"/>
      <c r="H780" s="9"/>
      <c r="I780" s="9"/>
      <c r="J780" s="9"/>
      <c r="K780" s="9"/>
      <c r="L780" s="9"/>
      <c r="M780" s="9"/>
      <c r="N780" s="9"/>
      <c r="O780" s="9"/>
      <c r="P780" s="9"/>
    </row>
    <row r="781" ht="30.0" customHeight="1">
      <c r="A781" s="5"/>
      <c r="B781" s="5"/>
      <c r="C781" s="11"/>
      <c r="D781" s="5"/>
      <c r="E781" s="5"/>
      <c r="F781" s="8"/>
      <c r="G781" s="8"/>
      <c r="H781" s="9"/>
      <c r="I781" s="9"/>
      <c r="J781" s="9"/>
      <c r="K781" s="9"/>
      <c r="L781" s="9"/>
      <c r="M781" s="9"/>
      <c r="N781" s="9"/>
      <c r="O781" s="9"/>
      <c r="P781" s="9"/>
    </row>
    <row r="782" ht="30.0" customHeight="1">
      <c r="A782" s="5"/>
      <c r="B782" s="5"/>
      <c r="C782" s="11"/>
      <c r="D782" s="5"/>
      <c r="E782" s="5"/>
      <c r="F782" s="8"/>
      <c r="G782" s="8"/>
      <c r="H782" s="9"/>
      <c r="I782" s="9"/>
      <c r="J782" s="9"/>
      <c r="K782" s="9"/>
      <c r="L782" s="9"/>
      <c r="M782" s="9"/>
      <c r="N782" s="9"/>
      <c r="O782" s="9"/>
      <c r="P782" s="9"/>
    </row>
    <row r="783" ht="30.0" customHeight="1">
      <c r="A783" s="5"/>
      <c r="B783" s="5"/>
      <c r="C783" s="11"/>
      <c r="D783" s="5"/>
      <c r="E783" s="5"/>
      <c r="F783" s="8"/>
      <c r="G783" s="8"/>
      <c r="H783" s="9"/>
      <c r="I783" s="9"/>
      <c r="J783" s="9"/>
      <c r="K783" s="9"/>
      <c r="L783" s="9"/>
      <c r="M783" s="9"/>
      <c r="N783" s="9"/>
      <c r="O783" s="9"/>
      <c r="P783" s="9"/>
    </row>
    <row r="784" ht="30.0" customHeight="1">
      <c r="A784" s="5"/>
      <c r="B784" s="5"/>
      <c r="C784" s="11"/>
      <c r="D784" s="5"/>
      <c r="E784" s="5"/>
      <c r="F784" s="8"/>
      <c r="G784" s="8"/>
      <c r="H784" s="9"/>
      <c r="I784" s="9"/>
      <c r="J784" s="9"/>
      <c r="K784" s="9"/>
      <c r="L784" s="9"/>
      <c r="M784" s="9"/>
      <c r="N784" s="9"/>
      <c r="O784" s="9"/>
      <c r="P784" s="9"/>
    </row>
    <row r="785" ht="30.0" customHeight="1">
      <c r="A785" s="5"/>
      <c r="B785" s="5"/>
      <c r="C785" s="11"/>
      <c r="D785" s="5"/>
      <c r="E785" s="5"/>
      <c r="F785" s="8"/>
      <c r="G785" s="8"/>
      <c r="H785" s="9"/>
      <c r="I785" s="9"/>
      <c r="J785" s="9"/>
      <c r="K785" s="9"/>
      <c r="L785" s="9"/>
      <c r="M785" s="9"/>
      <c r="N785" s="9"/>
      <c r="O785" s="9"/>
      <c r="P785" s="9"/>
    </row>
    <row r="786" ht="30.0" customHeight="1">
      <c r="A786" s="5"/>
      <c r="B786" s="5"/>
      <c r="C786" s="11"/>
      <c r="D786" s="5"/>
      <c r="E786" s="5"/>
      <c r="F786" s="8"/>
      <c r="G786" s="8"/>
      <c r="H786" s="9"/>
      <c r="I786" s="9"/>
      <c r="J786" s="9"/>
      <c r="K786" s="9"/>
      <c r="L786" s="9"/>
      <c r="M786" s="9"/>
      <c r="N786" s="9"/>
      <c r="O786" s="9"/>
      <c r="P786" s="9"/>
    </row>
    <row r="787" ht="30.0" customHeight="1">
      <c r="A787" s="5"/>
      <c r="B787" s="5"/>
      <c r="C787" s="11"/>
      <c r="D787" s="5"/>
      <c r="E787" s="5"/>
      <c r="F787" s="8"/>
      <c r="G787" s="8"/>
      <c r="H787" s="9"/>
      <c r="I787" s="9"/>
      <c r="J787" s="9"/>
      <c r="K787" s="9"/>
      <c r="L787" s="9"/>
      <c r="M787" s="9"/>
      <c r="N787" s="9"/>
      <c r="O787" s="9"/>
      <c r="P787" s="9"/>
    </row>
    <row r="788" ht="30.0" customHeight="1">
      <c r="A788" s="5"/>
      <c r="B788" s="5"/>
      <c r="C788" s="11"/>
      <c r="D788" s="5"/>
      <c r="E788" s="5"/>
      <c r="F788" s="8"/>
      <c r="G788" s="8"/>
      <c r="H788" s="9"/>
      <c r="I788" s="9"/>
      <c r="J788" s="9"/>
      <c r="K788" s="9"/>
      <c r="L788" s="9"/>
      <c r="M788" s="9"/>
      <c r="N788" s="9"/>
      <c r="O788" s="9"/>
      <c r="P788" s="9"/>
    </row>
    <row r="789" ht="30.0" customHeight="1">
      <c r="A789" s="5"/>
      <c r="B789" s="5"/>
      <c r="C789" s="11"/>
      <c r="D789" s="5"/>
      <c r="E789" s="5"/>
      <c r="F789" s="8"/>
      <c r="G789" s="8"/>
      <c r="H789" s="9"/>
      <c r="I789" s="9"/>
      <c r="J789" s="9"/>
      <c r="K789" s="9"/>
      <c r="L789" s="9"/>
      <c r="M789" s="9"/>
      <c r="N789" s="9"/>
      <c r="O789" s="9"/>
      <c r="P789" s="9"/>
    </row>
    <row r="790" ht="30.0" customHeight="1">
      <c r="A790" s="5"/>
      <c r="B790" s="5"/>
      <c r="C790" s="11"/>
      <c r="D790" s="5"/>
      <c r="E790" s="5"/>
      <c r="F790" s="8"/>
      <c r="G790" s="8"/>
      <c r="H790" s="9"/>
      <c r="I790" s="9"/>
      <c r="J790" s="9"/>
      <c r="K790" s="9"/>
      <c r="L790" s="9"/>
      <c r="M790" s="9"/>
      <c r="N790" s="9"/>
      <c r="O790" s="9"/>
      <c r="P790" s="9"/>
    </row>
    <row r="791" ht="30.0" customHeight="1">
      <c r="A791" s="5"/>
      <c r="B791" s="5"/>
      <c r="C791" s="11"/>
      <c r="D791" s="5"/>
      <c r="E791" s="5"/>
      <c r="F791" s="8"/>
      <c r="G791" s="8"/>
      <c r="H791" s="9"/>
      <c r="I791" s="9"/>
      <c r="J791" s="9"/>
      <c r="K791" s="9"/>
      <c r="L791" s="9"/>
      <c r="M791" s="9"/>
      <c r="N791" s="9"/>
      <c r="O791" s="9"/>
      <c r="P791" s="9"/>
    </row>
    <row r="792" ht="30.0" customHeight="1">
      <c r="A792" s="5"/>
      <c r="B792" s="5"/>
      <c r="C792" s="11"/>
      <c r="D792" s="5"/>
      <c r="E792" s="5"/>
      <c r="F792" s="8"/>
      <c r="G792" s="8"/>
      <c r="H792" s="9"/>
      <c r="I792" s="9"/>
      <c r="J792" s="9"/>
      <c r="K792" s="9"/>
      <c r="L792" s="9"/>
      <c r="M792" s="9"/>
      <c r="N792" s="9"/>
      <c r="O792" s="9"/>
      <c r="P792" s="9"/>
    </row>
    <row r="793" ht="30.0" customHeight="1">
      <c r="A793" s="5"/>
      <c r="B793" s="5"/>
      <c r="C793" s="11"/>
      <c r="D793" s="5"/>
      <c r="E793" s="5"/>
      <c r="F793" s="8"/>
      <c r="G793" s="8"/>
      <c r="H793" s="9"/>
      <c r="I793" s="9"/>
      <c r="J793" s="9"/>
      <c r="K793" s="9"/>
      <c r="L793" s="9"/>
      <c r="M793" s="9"/>
      <c r="N793" s="9"/>
      <c r="O793" s="9"/>
      <c r="P793" s="9"/>
    </row>
    <row r="794" ht="30.0" customHeight="1">
      <c r="A794" s="5"/>
      <c r="B794" s="5"/>
      <c r="C794" s="11"/>
      <c r="D794" s="5"/>
      <c r="E794" s="5"/>
      <c r="F794" s="8"/>
      <c r="G794" s="8"/>
      <c r="H794" s="9"/>
      <c r="I794" s="9"/>
      <c r="J794" s="9"/>
      <c r="K794" s="9"/>
      <c r="L794" s="9"/>
      <c r="M794" s="9"/>
      <c r="N794" s="9"/>
      <c r="O794" s="9"/>
      <c r="P794" s="9"/>
    </row>
    <row r="795" ht="30.0" customHeight="1">
      <c r="A795" s="5"/>
      <c r="B795" s="5"/>
      <c r="C795" s="11"/>
      <c r="D795" s="5"/>
      <c r="E795" s="5"/>
      <c r="F795" s="8"/>
      <c r="G795" s="8"/>
      <c r="H795" s="9"/>
      <c r="I795" s="9"/>
      <c r="J795" s="9"/>
      <c r="K795" s="9"/>
      <c r="L795" s="9"/>
      <c r="M795" s="9"/>
      <c r="N795" s="9"/>
      <c r="O795" s="9"/>
      <c r="P795" s="9"/>
    </row>
    <row r="796" ht="30.0" customHeight="1">
      <c r="A796" s="5"/>
      <c r="B796" s="5"/>
      <c r="C796" s="11"/>
      <c r="D796" s="5"/>
      <c r="E796" s="5"/>
      <c r="F796" s="8"/>
      <c r="G796" s="8"/>
      <c r="H796" s="9"/>
      <c r="I796" s="9"/>
      <c r="J796" s="9"/>
      <c r="K796" s="9"/>
      <c r="L796" s="9"/>
      <c r="M796" s="9"/>
      <c r="N796" s="9"/>
      <c r="O796" s="9"/>
      <c r="P796" s="9"/>
    </row>
    <row r="797" ht="30.0" customHeight="1">
      <c r="A797" s="5"/>
      <c r="B797" s="5"/>
      <c r="C797" s="11"/>
      <c r="D797" s="5"/>
      <c r="E797" s="5"/>
      <c r="F797" s="8"/>
      <c r="G797" s="8"/>
      <c r="H797" s="9"/>
      <c r="I797" s="9"/>
      <c r="J797" s="9"/>
      <c r="K797" s="9"/>
      <c r="L797" s="9"/>
      <c r="M797" s="9"/>
      <c r="N797" s="9"/>
      <c r="O797" s="9"/>
      <c r="P797" s="9"/>
    </row>
    <row r="798" ht="30.0" customHeight="1">
      <c r="A798" s="5"/>
      <c r="B798" s="5"/>
      <c r="C798" s="11"/>
      <c r="D798" s="5"/>
      <c r="E798" s="5"/>
      <c r="F798" s="8"/>
      <c r="G798" s="8"/>
      <c r="H798" s="9"/>
      <c r="I798" s="9"/>
      <c r="J798" s="9"/>
      <c r="K798" s="9"/>
      <c r="L798" s="9"/>
      <c r="M798" s="9"/>
      <c r="N798" s="9"/>
      <c r="O798" s="9"/>
      <c r="P798" s="9"/>
    </row>
    <row r="799" ht="30.0" customHeight="1">
      <c r="A799" s="5"/>
      <c r="B799" s="5"/>
      <c r="C799" s="11"/>
      <c r="D799" s="5"/>
      <c r="E799" s="5"/>
      <c r="F799" s="8"/>
      <c r="G799" s="8"/>
      <c r="H799" s="9"/>
      <c r="I799" s="9"/>
      <c r="J799" s="9"/>
      <c r="K799" s="9"/>
      <c r="L799" s="9"/>
      <c r="M799" s="9"/>
      <c r="N799" s="9"/>
      <c r="O799" s="9"/>
      <c r="P799" s="9"/>
    </row>
    <row r="800" ht="30.0" customHeight="1">
      <c r="A800" s="5"/>
      <c r="B800" s="5"/>
      <c r="C800" s="11"/>
      <c r="D800" s="5"/>
      <c r="E800" s="5"/>
      <c r="F800" s="8"/>
      <c r="G800" s="8"/>
      <c r="H800" s="9"/>
      <c r="I800" s="9"/>
      <c r="J800" s="9"/>
      <c r="K800" s="9"/>
      <c r="L800" s="9"/>
      <c r="M800" s="9"/>
      <c r="N800" s="9"/>
      <c r="O800" s="9"/>
      <c r="P800" s="9"/>
    </row>
    <row r="801" ht="30.0" customHeight="1">
      <c r="A801" s="5"/>
      <c r="B801" s="5"/>
      <c r="C801" s="11"/>
      <c r="D801" s="5"/>
      <c r="E801" s="5"/>
      <c r="F801" s="8"/>
      <c r="G801" s="8"/>
      <c r="H801" s="9"/>
      <c r="I801" s="9"/>
      <c r="J801" s="9"/>
      <c r="K801" s="9"/>
      <c r="L801" s="9"/>
      <c r="M801" s="9"/>
      <c r="N801" s="9"/>
      <c r="O801" s="9"/>
      <c r="P801" s="9"/>
    </row>
    <row r="802" ht="30.0" customHeight="1">
      <c r="A802" s="5"/>
      <c r="B802" s="5"/>
      <c r="C802" s="11"/>
      <c r="D802" s="5"/>
      <c r="E802" s="5"/>
      <c r="F802" s="8"/>
      <c r="G802" s="8"/>
      <c r="H802" s="9"/>
      <c r="I802" s="9"/>
      <c r="J802" s="9"/>
      <c r="K802" s="9"/>
      <c r="L802" s="9"/>
      <c r="M802" s="9"/>
      <c r="N802" s="9"/>
      <c r="O802" s="9"/>
      <c r="P802" s="9"/>
    </row>
    <row r="803" ht="30.0" customHeight="1">
      <c r="A803" s="5"/>
      <c r="B803" s="5"/>
      <c r="C803" s="11"/>
      <c r="D803" s="5"/>
      <c r="E803" s="5"/>
      <c r="F803" s="8"/>
      <c r="G803" s="8"/>
      <c r="H803" s="9"/>
      <c r="I803" s="9"/>
      <c r="J803" s="9"/>
      <c r="K803" s="9"/>
      <c r="L803" s="9"/>
      <c r="M803" s="9"/>
      <c r="N803" s="9"/>
      <c r="O803" s="9"/>
      <c r="P803" s="9"/>
    </row>
    <row r="804" ht="30.0" customHeight="1">
      <c r="A804" s="5"/>
      <c r="B804" s="5"/>
      <c r="C804" s="11"/>
      <c r="D804" s="5"/>
      <c r="E804" s="5"/>
      <c r="F804" s="8"/>
      <c r="G804" s="8"/>
      <c r="H804" s="9"/>
      <c r="I804" s="9"/>
      <c r="J804" s="9"/>
      <c r="K804" s="9"/>
      <c r="L804" s="9"/>
      <c r="M804" s="9"/>
      <c r="N804" s="9"/>
      <c r="O804" s="9"/>
      <c r="P804" s="9"/>
    </row>
    <row r="805" ht="30.0" customHeight="1">
      <c r="A805" s="5"/>
      <c r="B805" s="5"/>
      <c r="C805" s="11"/>
      <c r="D805" s="5"/>
      <c r="E805" s="5"/>
      <c r="F805" s="8"/>
      <c r="G805" s="8"/>
      <c r="H805" s="9"/>
      <c r="I805" s="9"/>
      <c r="J805" s="9"/>
      <c r="K805" s="9"/>
      <c r="L805" s="9"/>
      <c r="M805" s="9"/>
      <c r="N805" s="9"/>
      <c r="O805" s="9"/>
      <c r="P805" s="9"/>
    </row>
    <row r="806" ht="30.0" customHeight="1">
      <c r="A806" s="5"/>
      <c r="B806" s="5"/>
      <c r="C806" s="11"/>
      <c r="D806" s="5"/>
      <c r="E806" s="5"/>
      <c r="F806" s="8"/>
      <c r="G806" s="8"/>
      <c r="H806" s="9"/>
      <c r="I806" s="9"/>
      <c r="J806" s="9"/>
      <c r="K806" s="9"/>
      <c r="L806" s="9"/>
      <c r="M806" s="9"/>
      <c r="N806" s="9"/>
      <c r="O806" s="9"/>
      <c r="P806" s="9"/>
    </row>
    <row r="807" ht="30.0" customHeight="1">
      <c r="A807" s="5"/>
      <c r="B807" s="5"/>
      <c r="C807" s="11"/>
      <c r="D807" s="5"/>
      <c r="E807" s="5"/>
      <c r="F807" s="8"/>
      <c r="G807" s="8"/>
      <c r="H807" s="9"/>
      <c r="I807" s="9"/>
      <c r="J807" s="9"/>
      <c r="K807" s="9"/>
      <c r="L807" s="9"/>
      <c r="M807" s="9"/>
      <c r="N807" s="9"/>
      <c r="O807" s="9"/>
      <c r="P807" s="9"/>
    </row>
    <row r="808" ht="30.0" customHeight="1">
      <c r="A808" s="5"/>
      <c r="B808" s="5"/>
      <c r="C808" s="11"/>
      <c r="D808" s="5"/>
      <c r="E808" s="5"/>
      <c r="F808" s="8"/>
      <c r="G808" s="8"/>
      <c r="H808" s="9"/>
      <c r="I808" s="9"/>
      <c r="J808" s="9"/>
      <c r="K808" s="9"/>
      <c r="L808" s="9"/>
      <c r="M808" s="9"/>
      <c r="N808" s="9"/>
      <c r="O808" s="9"/>
      <c r="P808" s="9"/>
    </row>
    <row r="809" ht="30.0" customHeight="1">
      <c r="A809" s="5"/>
      <c r="B809" s="5"/>
      <c r="C809" s="11"/>
      <c r="D809" s="5"/>
      <c r="E809" s="5"/>
      <c r="F809" s="8"/>
      <c r="G809" s="8"/>
      <c r="H809" s="9"/>
      <c r="I809" s="9"/>
      <c r="J809" s="9"/>
      <c r="K809" s="9"/>
      <c r="L809" s="9"/>
      <c r="M809" s="9"/>
      <c r="N809" s="9"/>
      <c r="O809" s="9"/>
      <c r="P809" s="9"/>
    </row>
    <row r="810" ht="30.0" customHeight="1">
      <c r="A810" s="5"/>
      <c r="B810" s="5"/>
      <c r="C810" s="11"/>
      <c r="D810" s="5"/>
      <c r="E810" s="5"/>
      <c r="F810" s="8"/>
      <c r="G810" s="8"/>
      <c r="H810" s="9"/>
      <c r="I810" s="9"/>
      <c r="J810" s="9"/>
      <c r="K810" s="9"/>
      <c r="L810" s="9"/>
      <c r="M810" s="9"/>
      <c r="N810" s="9"/>
      <c r="O810" s="9"/>
      <c r="P810" s="9"/>
    </row>
    <row r="811" ht="30.0" customHeight="1">
      <c r="A811" s="5"/>
      <c r="B811" s="5"/>
      <c r="C811" s="11"/>
      <c r="D811" s="5"/>
      <c r="E811" s="5"/>
      <c r="F811" s="8"/>
      <c r="G811" s="8"/>
      <c r="H811" s="9"/>
      <c r="I811" s="9"/>
      <c r="J811" s="9"/>
      <c r="K811" s="9"/>
      <c r="L811" s="9"/>
      <c r="M811" s="9"/>
      <c r="N811" s="9"/>
      <c r="O811" s="9"/>
      <c r="P811" s="9"/>
    </row>
    <row r="812" ht="30.0" customHeight="1">
      <c r="A812" s="5"/>
      <c r="B812" s="5"/>
      <c r="C812" s="11"/>
      <c r="D812" s="5"/>
      <c r="E812" s="5"/>
      <c r="F812" s="8"/>
      <c r="G812" s="8"/>
      <c r="H812" s="9"/>
      <c r="I812" s="9"/>
      <c r="J812" s="9"/>
      <c r="K812" s="9"/>
      <c r="L812" s="9"/>
      <c r="M812" s="9"/>
      <c r="N812" s="9"/>
      <c r="O812" s="9"/>
      <c r="P812" s="9"/>
    </row>
    <row r="813" ht="30.0" customHeight="1">
      <c r="A813" s="5"/>
      <c r="B813" s="5"/>
      <c r="C813" s="11"/>
      <c r="D813" s="5"/>
      <c r="E813" s="5"/>
      <c r="F813" s="8"/>
      <c r="G813" s="8"/>
      <c r="H813" s="9"/>
      <c r="I813" s="9"/>
      <c r="J813" s="9"/>
      <c r="K813" s="9"/>
      <c r="L813" s="9"/>
      <c r="M813" s="9"/>
      <c r="N813" s="9"/>
      <c r="O813" s="9"/>
      <c r="P813" s="9"/>
    </row>
    <row r="814" ht="30.0" customHeight="1">
      <c r="A814" s="5"/>
      <c r="B814" s="5"/>
      <c r="C814" s="11"/>
      <c r="D814" s="5"/>
      <c r="E814" s="5"/>
      <c r="F814" s="8"/>
      <c r="G814" s="8"/>
      <c r="H814" s="9"/>
      <c r="I814" s="9"/>
      <c r="J814" s="9"/>
      <c r="K814" s="9"/>
      <c r="L814" s="9"/>
      <c r="M814" s="9"/>
      <c r="N814" s="9"/>
      <c r="O814" s="9"/>
      <c r="P814" s="9"/>
    </row>
    <row r="815" ht="30.0" customHeight="1">
      <c r="A815" s="5"/>
      <c r="B815" s="5"/>
      <c r="C815" s="11"/>
      <c r="D815" s="5"/>
      <c r="E815" s="5"/>
      <c r="F815" s="8"/>
      <c r="G815" s="8"/>
      <c r="H815" s="9"/>
      <c r="I815" s="9"/>
      <c r="J815" s="9"/>
      <c r="K815" s="9"/>
      <c r="L815" s="9"/>
      <c r="M815" s="9"/>
      <c r="N815" s="9"/>
      <c r="O815" s="9"/>
      <c r="P815" s="9"/>
    </row>
    <row r="816" ht="30.0" customHeight="1">
      <c r="A816" s="5"/>
      <c r="B816" s="5"/>
      <c r="C816" s="11"/>
      <c r="D816" s="5"/>
      <c r="E816" s="5"/>
      <c r="F816" s="8"/>
      <c r="G816" s="8"/>
      <c r="H816" s="9"/>
      <c r="I816" s="9"/>
      <c r="J816" s="9"/>
      <c r="K816" s="9"/>
      <c r="L816" s="9"/>
      <c r="M816" s="9"/>
      <c r="N816" s="9"/>
      <c r="O816" s="9"/>
      <c r="P816" s="9"/>
    </row>
    <row r="817" ht="30.0" customHeight="1">
      <c r="A817" s="5"/>
      <c r="B817" s="5"/>
      <c r="C817" s="11"/>
      <c r="D817" s="5"/>
      <c r="E817" s="5"/>
      <c r="F817" s="8"/>
      <c r="G817" s="8"/>
      <c r="H817" s="9"/>
      <c r="I817" s="9"/>
      <c r="J817" s="9"/>
      <c r="K817" s="9"/>
      <c r="L817" s="9"/>
      <c r="M817" s="9"/>
      <c r="N817" s="9"/>
      <c r="O817" s="9"/>
      <c r="P817" s="9"/>
    </row>
    <row r="818" ht="30.0" customHeight="1">
      <c r="A818" s="5"/>
      <c r="B818" s="5"/>
      <c r="C818" s="11"/>
      <c r="D818" s="5"/>
      <c r="E818" s="5"/>
      <c r="F818" s="8"/>
      <c r="G818" s="8"/>
      <c r="H818" s="9"/>
      <c r="I818" s="9"/>
      <c r="J818" s="9"/>
      <c r="K818" s="9"/>
      <c r="L818" s="9"/>
      <c r="M818" s="9"/>
      <c r="N818" s="9"/>
      <c r="O818" s="9"/>
      <c r="P818" s="9"/>
    </row>
    <row r="819" ht="30.0" customHeight="1">
      <c r="A819" s="5"/>
      <c r="B819" s="5"/>
      <c r="C819" s="11"/>
      <c r="D819" s="5"/>
      <c r="E819" s="5"/>
      <c r="F819" s="8"/>
      <c r="G819" s="8"/>
      <c r="H819" s="9"/>
      <c r="I819" s="9"/>
      <c r="J819" s="9"/>
      <c r="K819" s="9"/>
      <c r="L819" s="9"/>
      <c r="M819" s="9"/>
      <c r="N819" s="9"/>
      <c r="O819" s="9"/>
      <c r="P819" s="9"/>
    </row>
    <row r="820" ht="30.0" customHeight="1">
      <c r="A820" s="5"/>
      <c r="B820" s="5"/>
      <c r="C820" s="11"/>
      <c r="D820" s="5"/>
      <c r="E820" s="5"/>
      <c r="F820" s="8"/>
      <c r="G820" s="8"/>
      <c r="H820" s="9"/>
      <c r="I820" s="9"/>
      <c r="J820" s="9"/>
      <c r="K820" s="9"/>
      <c r="L820" s="9"/>
      <c r="M820" s="9"/>
      <c r="N820" s="9"/>
      <c r="O820" s="9"/>
      <c r="P820" s="9"/>
    </row>
    <row r="821" ht="30.0" customHeight="1">
      <c r="A821" s="5"/>
      <c r="B821" s="5"/>
      <c r="C821" s="11"/>
      <c r="D821" s="5"/>
      <c r="E821" s="5"/>
      <c r="F821" s="8"/>
      <c r="G821" s="8"/>
      <c r="H821" s="9"/>
      <c r="I821" s="9"/>
      <c r="J821" s="9"/>
      <c r="K821" s="9"/>
      <c r="L821" s="9"/>
      <c r="M821" s="9"/>
      <c r="N821" s="9"/>
      <c r="O821" s="9"/>
      <c r="P821" s="9"/>
    </row>
    <row r="822" ht="30.0" customHeight="1">
      <c r="A822" s="5"/>
      <c r="B822" s="5"/>
      <c r="C822" s="11"/>
      <c r="D822" s="5"/>
      <c r="E822" s="5"/>
      <c r="F822" s="8"/>
      <c r="G822" s="8"/>
      <c r="H822" s="9"/>
      <c r="I822" s="9"/>
      <c r="J822" s="9"/>
      <c r="K822" s="9"/>
      <c r="L822" s="9"/>
      <c r="M822" s="9"/>
      <c r="N822" s="9"/>
      <c r="O822" s="9"/>
      <c r="P822" s="9"/>
    </row>
    <row r="823" ht="30.0" customHeight="1">
      <c r="A823" s="5"/>
      <c r="B823" s="5"/>
      <c r="C823" s="11"/>
      <c r="D823" s="5"/>
      <c r="E823" s="5"/>
      <c r="F823" s="8"/>
      <c r="G823" s="8"/>
      <c r="H823" s="9"/>
      <c r="I823" s="9"/>
      <c r="J823" s="9"/>
      <c r="K823" s="9"/>
      <c r="L823" s="9"/>
      <c r="M823" s="9"/>
      <c r="N823" s="9"/>
      <c r="O823" s="9"/>
      <c r="P823" s="9"/>
    </row>
    <row r="824" ht="30.0" customHeight="1">
      <c r="A824" s="5"/>
      <c r="B824" s="5"/>
      <c r="C824" s="11"/>
      <c r="D824" s="5"/>
      <c r="E824" s="5"/>
      <c r="F824" s="8"/>
      <c r="G824" s="8"/>
      <c r="H824" s="9"/>
      <c r="I824" s="9"/>
      <c r="J824" s="9"/>
      <c r="K824" s="9"/>
      <c r="L824" s="9"/>
      <c r="M824" s="9"/>
      <c r="N824" s="9"/>
      <c r="O824" s="9"/>
      <c r="P824" s="9"/>
    </row>
    <row r="825" ht="30.0" customHeight="1">
      <c r="A825" s="5"/>
      <c r="B825" s="5"/>
      <c r="C825" s="11"/>
      <c r="D825" s="5"/>
      <c r="E825" s="5"/>
      <c r="F825" s="8"/>
      <c r="G825" s="8"/>
      <c r="H825" s="9"/>
      <c r="I825" s="9"/>
      <c r="J825" s="9"/>
      <c r="K825" s="9"/>
      <c r="L825" s="9"/>
      <c r="M825" s="9"/>
      <c r="N825" s="9"/>
      <c r="O825" s="9"/>
      <c r="P825" s="9"/>
    </row>
    <row r="826" ht="30.0" customHeight="1">
      <c r="A826" s="5"/>
      <c r="B826" s="5"/>
      <c r="C826" s="11"/>
      <c r="D826" s="5"/>
      <c r="E826" s="5"/>
      <c r="F826" s="8"/>
      <c r="G826" s="8"/>
      <c r="H826" s="9"/>
      <c r="I826" s="9"/>
      <c r="J826" s="9"/>
      <c r="K826" s="9"/>
      <c r="L826" s="9"/>
      <c r="M826" s="9"/>
      <c r="N826" s="9"/>
      <c r="O826" s="9"/>
      <c r="P826" s="9"/>
    </row>
    <row r="827" ht="30.0" customHeight="1">
      <c r="A827" s="5"/>
      <c r="B827" s="5"/>
      <c r="C827" s="11"/>
      <c r="D827" s="5"/>
      <c r="E827" s="5"/>
      <c r="F827" s="8"/>
      <c r="G827" s="8"/>
      <c r="H827" s="9"/>
      <c r="I827" s="9"/>
      <c r="J827" s="9"/>
      <c r="K827" s="9"/>
      <c r="L827" s="9"/>
      <c r="M827" s="9"/>
      <c r="N827" s="9"/>
      <c r="O827" s="9"/>
      <c r="P827" s="9"/>
    </row>
    <row r="828" ht="30.0" customHeight="1">
      <c r="A828" s="5"/>
      <c r="B828" s="5"/>
      <c r="C828" s="11"/>
      <c r="D828" s="5"/>
      <c r="E828" s="5"/>
      <c r="F828" s="8"/>
      <c r="G828" s="8"/>
      <c r="H828" s="9"/>
      <c r="I828" s="9"/>
      <c r="J828" s="9"/>
      <c r="K828" s="9"/>
      <c r="L828" s="9"/>
      <c r="M828" s="9"/>
      <c r="N828" s="9"/>
      <c r="O828" s="9"/>
      <c r="P828" s="9"/>
    </row>
    <row r="829" ht="30.0" customHeight="1">
      <c r="A829" s="5"/>
      <c r="B829" s="5"/>
      <c r="C829" s="11"/>
      <c r="D829" s="5"/>
      <c r="E829" s="5"/>
      <c r="F829" s="8"/>
      <c r="G829" s="8"/>
      <c r="H829" s="9"/>
      <c r="I829" s="9"/>
      <c r="J829" s="9"/>
      <c r="K829" s="9"/>
      <c r="L829" s="9"/>
      <c r="M829" s="9"/>
      <c r="N829" s="9"/>
      <c r="O829" s="9"/>
      <c r="P829" s="9"/>
    </row>
    <row r="830" ht="30.0" customHeight="1">
      <c r="A830" s="5"/>
      <c r="B830" s="5"/>
      <c r="C830" s="11"/>
      <c r="D830" s="5"/>
      <c r="E830" s="5"/>
      <c r="F830" s="8"/>
      <c r="G830" s="8"/>
      <c r="H830" s="9"/>
      <c r="I830" s="9"/>
      <c r="J830" s="9"/>
      <c r="K830" s="9"/>
      <c r="L830" s="9"/>
      <c r="M830" s="9"/>
      <c r="N830" s="9"/>
      <c r="O830" s="9"/>
      <c r="P830" s="9"/>
    </row>
    <row r="831" ht="30.0" customHeight="1">
      <c r="A831" s="5"/>
      <c r="B831" s="5"/>
      <c r="C831" s="11"/>
      <c r="D831" s="5"/>
      <c r="E831" s="5"/>
      <c r="F831" s="8"/>
      <c r="G831" s="8"/>
      <c r="H831" s="9"/>
      <c r="I831" s="9"/>
      <c r="J831" s="9"/>
      <c r="K831" s="9"/>
      <c r="L831" s="9"/>
      <c r="M831" s="9"/>
      <c r="N831" s="9"/>
      <c r="O831" s="9"/>
      <c r="P831" s="9"/>
    </row>
    <row r="832" ht="30.0" customHeight="1">
      <c r="A832" s="5"/>
      <c r="B832" s="5"/>
      <c r="C832" s="11"/>
      <c r="D832" s="5"/>
      <c r="E832" s="5"/>
      <c r="F832" s="8"/>
      <c r="G832" s="8"/>
      <c r="H832" s="9"/>
      <c r="I832" s="9"/>
      <c r="J832" s="9"/>
      <c r="K832" s="9"/>
      <c r="L832" s="9"/>
      <c r="M832" s="9"/>
      <c r="N832" s="9"/>
      <c r="O832" s="9"/>
      <c r="P832" s="9"/>
    </row>
    <row r="833" ht="30.0" customHeight="1">
      <c r="A833" s="5"/>
      <c r="B833" s="5"/>
      <c r="C833" s="11"/>
      <c r="D833" s="5"/>
      <c r="E833" s="5"/>
      <c r="F833" s="8"/>
      <c r="G833" s="8"/>
      <c r="H833" s="9"/>
      <c r="I833" s="9"/>
      <c r="J833" s="9"/>
      <c r="K833" s="9"/>
      <c r="L833" s="9"/>
      <c r="M833" s="9"/>
      <c r="N833" s="9"/>
      <c r="O833" s="9"/>
      <c r="P833" s="9"/>
    </row>
    <row r="834" ht="30.0" customHeight="1">
      <c r="A834" s="5"/>
      <c r="B834" s="5"/>
      <c r="C834" s="11"/>
      <c r="D834" s="5"/>
      <c r="E834" s="5"/>
      <c r="F834" s="8"/>
      <c r="G834" s="8"/>
      <c r="H834" s="9"/>
      <c r="I834" s="9"/>
      <c r="J834" s="9"/>
      <c r="K834" s="9"/>
      <c r="L834" s="9"/>
      <c r="M834" s="9"/>
      <c r="N834" s="9"/>
      <c r="O834" s="9"/>
      <c r="P834" s="9"/>
    </row>
    <row r="835" ht="30.0" customHeight="1">
      <c r="A835" s="5"/>
      <c r="B835" s="5"/>
      <c r="C835" s="11"/>
      <c r="D835" s="5"/>
      <c r="E835" s="5"/>
      <c r="F835" s="8"/>
      <c r="G835" s="8"/>
      <c r="H835" s="9"/>
      <c r="I835" s="9"/>
      <c r="J835" s="9"/>
      <c r="K835" s="9"/>
      <c r="L835" s="9"/>
      <c r="M835" s="9"/>
      <c r="N835" s="9"/>
      <c r="O835" s="9"/>
      <c r="P835" s="9"/>
    </row>
    <row r="836" ht="30.0" customHeight="1">
      <c r="A836" s="5"/>
      <c r="B836" s="5"/>
      <c r="C836" s="11"/>
      <c r="D836" s="5"/>
      <c r="E836" s="5"/>
      <c r="F836" s="8"/>
      <c r="G836" s="8"/>
      <c r="H836" s="9"/>
      <c r="I836" s="9"/>
      <c r="J836" s="9"/>
      <c r="K836" s="9"/>
      <c r="L836" s="9"/>
      <c r="M836" s="9"/>
      <c r="N836" s="9"/>
      <c r="O836" s="9"/>
      <c r="P836" s="9"/>
    </row>
    <row r="837" ht="30.0" customHeight="1">
      <c r="A837" s="5"/>
      <c r="B837" s="5"/>
      <c r="C837" s="11"/>
      <c r="D837" s="5"/>
      <c r="E837" s="5"/>
      <c r="F837" s="8"/>
      <c r="G837" s="8"/>
      <c r="H837" s="9"/>
      <c r="I837" s="9"/>
      <c r="J837" s="9"/>
      <c r="K837" s="9"/>
      <c r="L837" s="9"/>
      <c r="M837" s="9"/>
      <c r="N837" s="9"/>
      <c r="O837" s="9"/>
      <c r="P837" s="9"/>
    </row>
    <row r="838" ht="30.0" customHeight="1">
      <c r="A838" s="5"/>
      <c r="B838" s="5"/>
      <c r="C838" s="11"/>
      <c r="D838" s="5"/>
      <c r="E838" s="5"/>
      <c r="F838" s="8"/>
      <c r="G838" s="8"/>
      <c r="H838" s="9"/>
      <c r="I838" s="9"/>
      <c r="J838" s="9"/>
      <c r="K838" s="9"/>
      <c r="L838" s="9"/>
      <c r="M838" s="9"/>
      <c r="N838" s="9"/>
      <c r="O838" s="9"/>
      <c r="P838" s="9"/>
    </row>
    <row r="839" ht="30.0" customHeight="1">
      <c r="A839" s="5"/>
      <c r="B839" s="5"/>
      <c r="C839" s="11"/>
      <c r="D839" s="5"/>
      <c r="E839" s="5"/>
      <c r="F839" s="8"/>
      <c r="G839" s="8"/>
      <c r="H839" s="9"/>
      <c r="I839" s="9"/>
      <c r="J839" s="9"/>
      <c r="K839" s="9"/>
      <c r="L839" s="9"/>
      <c r="M839" s="9"/>
      <c r="N839" s="9"/>
      <c r="O839" s="9"/>
      <c r="P839" s="9"/>
    </row>
    <row r="840" ht="30.0" customHeight="1">
      <c r="A840" s="5"/>
      <c r="B840" s="5"/>
      <c r="C840" s="11"/>
      <c r="D840" s="5"/>
      <c r="E840" s="5"/>
      <c r="F840" s="8"/>
      <c r="G840" s="8"/>
      <c r="H840" s="9"/>
      <c r="I840" s="9"/>
      <c r="J840" s="9"/>
      <c r="K840" s="9"/>
      <c r="L840" s="9"/>
      <c r="M840" s="9"/>
      <c r="N840" s="9"/>
      <c r="O840" s="9"/>
      <c r="P840" s="9"/>
    </row>
    <row r="841" ht="30.0" customHeight="1">
      <c r="A841" s="5"/>
      <c r="B841" s="5"/>
      <c r="C841" s="11"/>
      <c r="D841" s="5"/>
      <c r="E841" s="5"/>
      <c r="F841" s="8"/>
      <c r="G841" s="8"/>
      <c r="H841" s="9"/>
      <c r="I841" s="9"/>
      <c r="J841" s="9"/>
      <c r="K841" s="9"/>
      <c r="L841" s="9"/>
      <c r="M841" s="9"/>
      <c r="N841" s="9"/>
      <c r="O841" s="9"/>
      <c r="P841" s="9"/>
    </row>
    <row r="842" ht="30.0" customHeight="1">
      <c r="A842" s="5"/>
      <c r="B842" s="5"/>
      <c r="C842" s="11"/>
      <c r="D842" s="5"/>
      <c r="E842" s="5"/>
      <c r="F842" s="8"/>
      <c r="G842" s="8"/>
      <c r="H842" s="9"/>
      <c r="I842" s="9"/>
      <c r="J842" s="9"/>
      <c r="K842" s="9"/>
      <c r="L842" s="9"/>
      <c r="M842" s="9"/>
      <c r="N842" s="9"/>
      <c r="O842" s="9"/>
      <c r="P842" s="9"/>
    </row>
    <row r="843" ht="30.0" customHeight="1">
      <c r="A843" s="5"/>
      <c r="B843" s="5"/>
      <c r="C843" s="11"/>
      <c r="D843" s="5"/>
      <c r="E843" s="5"/>
      <c r="F843" s="8"/>
      <c r="G843" s="8"/>
      <c r="H843" s="9"/>
      <c r="I843" s="9"/>
      <c r="J843" s="9"/>
      <c r="K843" s="9"/>
      <c r="L843" s="9"/>
      <c r="M843" s="9"/>
      <c r="N843" s="9"/>
      <c r="O843" s="9"/>
      <c r="P843" s="9"/>
    </row>
    <row r="844" ht="30.0" customHeight="1">
      <c r="A844" s="5"/>
      <c r="B844" s="5"/>
      <c r="C844" s="11"/>
      <c r="D844" s="5"/>
      <c r="E844" s="5"/>
      <c r="F844" s="8"/>
      <c r="G844" s="8"/>
      <c r="H844" s="9"/>
      <c r="I844" s="9"/>
      <c r="J844" s="9"/>
      <c r="K844" s="9"/>
      <c r="L844" s="9"/>
      <c r="M844" s="9"/>
      <c r="N844" s="9"/>
      <c r="O844" s="9"/>
      <c r="P844" s="9"/>
    </row>
    <row r="845" ht="30.0" customHeight="1">
      <c r="A845" s="5"/>
      <c r="B845" s="5"/>
      <c r="C845" s="11"/>
      <c r="D845" s="5"/>
      <c r="E845" s="5"/>
      <c r="F845" s="8"/>
      <c r="G845" s="8"/>
      <c r="H845" s="9"/>
      <c r="I845" s="9"/>
      <c r="J845" s="9"/>
      <c r="K845" s="9"/>
      <c r="L845" s="9"/>
      <c r="M845" s="9"/>
      <c r="N845" s="9"/>
      <c r="O845" s="9"/>
      <c r="P845" s="9"/>
    </row>
    <row r="846" ht="30.0" customHeight="1">
      <c r="A846" s="5"/>
      <c r="B846" s="5"/>
      <c r="C846" s="11"/>
      <c r="D846" s="5"/>
      <c r="E846" s="5"/>
      <c r="F846" s="8"/>
      <c r="G846" s="8"/>
      <c r="H846" s="9"/>
      <c r="I846" s="9"/>
      <c r="J846" s="9"/>
      <c r="K846" s="9"/>
      <c r="L846" s="9"/>
      <c r="M846" s="9"/>
      <c r="N846" s="9"/>
      <c r="O846" s="9"/>
      <c r="P846" s="9"/>
    </row>
    <row r="847" ht="30.0" customHeight="1">
      <c r="A847" s="5"/>
      <c r="B847" s="5"/>
      <c r="C847" s="11"/>
      <c r="D847" s="5"/>
      <c r="E847" s="5"/>
      <c r="F847" s="8"/>
      <c r="G847" s="8"/>
      <c r="H847" s="9"/>
      <c r="I847" s="9"/>
      <c r="J847" s="9"/>
      <c r="K847" s="9"/>
      <c r="L847" s="9"/>
      <c r="M847" s="9"/>
      <c r="N847" s="9"/>
      <c r="O847" s="9"/>
      <c r="P847" s="9"/>
    </row>
    <row r="848" ht="30.0" customHeight="1">
      <c r="A848" s="5"/>
      <c r="B848" s="5"/>
      <c r="C848" s="11"/>
      <c r="D848" s="5"/>
      <c r="E848" s="5"/>
      <c r="F848" s="8"/>
      <c r="G848" s="8"/>
      <c r="H848" s="9"/>
      <c r="I848" s="9"/>
      <c r="J848" s="9"/>
      <c r="K848" s="9"/>
      <c r="L848" s="9"/>
      <c r="M848" s="9"/>
      <c r="N848" s="9"/>
      <c r="O848" s="9"/>
      <c r="P848" s="9"/>
    </row>
    <row r="849" ht="30.0" customHeight="1">
      <c r="A849" s="5"/>
      <c r="B849" s="5"/>
      <c r="C849" s="11"/>
      <c r="D849" s="5"/>
      <c r="E849" s="5"/>
      <c r="F849" s="8"/>
      <c r="G849" s="8"/>
      <c r="H849" s="9"/>
      <c r="I849" s="9"/>
      <c r="J849" s="9"/>
      <c r="K849" s="9"/>
      <c r="L849" s="9"/>
      <c r="M849" s="9"/>
      <c r="N849" s="9"/>
      <c r="O849" s="9"/>
      <c r="P849" s="9"/>
    </row>
    <row r="850" ht="30.0" customHeight="1">
      <c r="A850" s="5"/>
      <c r="B850" s="5"/>
      <c r="C850" s="11"/>
      <c r="D850" s="5"/>
      <c r="E850" s="5"/>
      <c r="F850" s="8"/>
      <c r="G850" s="8"/>
      <c r="H850" s="9"/>
      <c r="I850" s="9"/>
      <c r="J850" s="9"/>
      <c r="K850" s="9"/>
      <c r="L850" s="9"/>
      <c r="M850" s="9"/>
      <c r="N850" s="9"/>
      <c r="O850" s="9"/>
      <c r="P850" s="9"/>
    </row>
    <row r="851" ht="30.0" customHeight="1">
      <c r="A851" s="5"/>
      <c r="B851" s="5"/>
      <c r="C851" s="11"/>
      <c r="D851" s="5"/>
      <c r="E851" s="5"/>
      <c r="F851" s="8"/>
      <c r="G851" s="8"/>
      <c r="H851" s="9"/>
      <c r="I851" s="9"/>
      <c r="J851" s="9"/>
      <c r="K851" s="9"/>
      <c r="L851" s="9"/>
      <c r="M851" s="9"/>
      <c r="N851" s="9"/>
      <c r="O851" s="9"/>
      <c r="P851" s="9"/>
    </row>
    <row r="852" ht="30.0" customHeight="1">
      <c r="A852" s="5"/>
      <c r="B852" s="5"/>
      <c r="C852" s="11"/>
      <c r="D852" s="5"/>
      <c r="E852" s="5"/>
      <c r="F852" s="8"/>
      <c r="G852" s="8"/>
      <c r="H852" s="9"/>
      <c r="I852" s="9"/>
      <c r="J852" s="9"/>
      <c r="K852" s="9"/>
      <c r="L852" s="9"/>
      <c r="M852" s="9"/>
      <c r="N852" s="9"/>
      <c r="O852" s="9"/>
      <c r="P852" s="9"/>
    </row>
    <row r="853" ht="30.0" customHeight="1">
      <c r="A853" s="5"/>
      <c r="B853" s="5"/>
      <c r="C853" s="11"/>
      <c r="D853" s="5"/>
      <c r="E853" s="5"/>
      <c r="F853" s="8"/>
      <c r="G853" s="8"/>
      <c r="H853" s="9"/>
      <c r="I853" s="9"/>
      <c r="J853" s="9"/>
      <c r="K853" s="9"/>
      <c r="L853" s="9"/>
      <c r="M853" s="9"/>
      <c r="N853" s="9"/>
      <c r="O853" s="9"/>
      <c r="P853" s="9"/>
    </row>
    <row r="854" ht="30.0" customHeight="1">
      <c r="A854" s="5"/>
      <c r="B854" s="5"/>
      <c r="C854" s="11"/>
      <c r="D854" s="5"/>
      <c r="E854" s="5"/>
      <c r="F854" s="8"/>
      <c r="G854" s="8"/>
      <c r="H854" s="9"/>
      <c r="I854" s="9"/>
      <c r="J854" s="9"/>
      <c r="K854" s="9"/>
      <c r="L854" s="9"/>
      <c r="M854" s="9"/>
      <c r="N854" s="9"/>
      <c r="O854" s="9"/>
      <c r="P854" s="9"/>
    </row>
    <row r="855" ht="30.0" customHeight="1">
      <c r="A855" s="5"/>
      <c r="B855" s="5"/>
      <c r="C855" s="11"/>
      <c r="D855" s="5"/>
      <c r="E855" s="5"/>
      <c r="F855" s="8"/>
      <c r="G855" s="8"/>
      <c r="H855" s="9"/>
      <c r="I855" s="9"/>
      <c r="J855" s="9"/>
      <c r="K855" s="9"/>
      <c r="L855" s="9"/>
      <c r="M855" s="9"/>
      <c r="N855" s="9"/>
      <c r="O855" s="9"/>
      <c r="P855" s="9"/>
    </row>
    <row r="856" ht="30.0" customHeight="1">
      <c r="A856" s="5"/>
      <c r="B856" s="5"/>
      <c r="C856" s="11"/>
      <c r="D856" s="5"/>
      <c r="E856" s="5"/>
      <c r="F856" s="8"/>
      <c r="G856" s="8"/>
      <c r="H856" s="9"/>
      <c r="I856" s="9"/>
      <c r="J856" s="9"/>
      <c r="K856" s="9"/>
      <c r="L856" s="9"/>
      <c r="M856" s="9"/>
      <c r="N856" s="9"/>
      <c r="O856" s="9"/>
      <c r="P856" s="9"/>
    </row>
    <row r="857" ht="30.0" customHeight="1">
      <c r="A857" s="5"/>
      <c r="B857" s="5"/>
      <c r="C857" s="11"/>
      <c r="D857" s="5"/>
      <c r="E857" s="5"/>
      <c r="F857" s="8"/>
      <c r="G857" s="8"/>
      <c r="H857" s="9"/>
      <c r="I857" s="9"/>
      <c r="J857" s="9"/>
      <c r="K857" s="9"/>
      <c r="L857" s="9"/>
      <c r="M857" s="9"/>
      <c r="N857" s="9"/>
      <c r="O857" s="9"/>
      <c r="P857" s="9"/>
    </row>
    <row r="858" ht="30.0" customHeight="1">
      <c r="A858" s="5"/>
      <c r="B858" s="5"/>
      <c r="C858" s="11"/>
      <c r="D858" s="5"/>
      <c r="E858" s="5"/>
      <c r="F858" s="8"/>
      <c r="G858" s="8"/>
      <c r="H858" s="9"/>
      <c r="I858" s="9"/>
      <c r="J858" s="9"/>
      <c r="K858" s="9"/>
      <c r="L858" s="9"/>
      <c r="M858" s="9"/>
      <c r="N858" s="9"/>
      <c r="O858" s="9"/>
      <c r="P858" s="9"/>
    </row>
    <row r="859" ht="30.0" customHeight="1">
      <c r="A859" s="5"/>
      <c r="B859" s="5"/>
      <c r="C859" s="11"/>
      <c r="D859" s="5"/>
      <c r="E859" s="5"/>
      <c r="F859" s="8"/>
      <c r="G859" s="8"/>
      <c r="H859" s="9"/>
      <c r="I859" s="9"/>
      <c r="J859" s="9"/>
      <c r="K859" s="9"/>
      <c r="L859" s="9"/>
      <c r="M859" s="9"/>
      <c r="N859" s="9"/>
      <c r="O859" s="9"/>
      <c r="P859" s="9"/>
    </row>
    <row r="860" ht="30.0" customHeight="1">
      <c r="A860" s="5"/>
      <c r="B860" s="5"/>
      <c r="C860" s="11"/>
      <c r="D860" s="5"/>
      <c r="E860" s="5"/>
      <c r="F860" s="8"/>
      <c r="G860" s="8"/>
      <c r="H860" s="9"/>
      <c r="I860" s="9"/>
      <c r="J860" s="9"/>
      <c r="K860" s="9"/>
      <c r="L860" s="9"/>
      <c r="M860" s="9"/>
      <c r="N860" s="9"/>
      <c r="O860" s="9"/>
      <c r="P860" s="9"/>
    </row>
    <row r="861" ht="30.0" customHeight="1">
      <c r="A861" s="5"/>
      <c r="B861" s="5"/>
      <c r="C861" s="11"/>
      <c r="D861" s="5"/>
      <c r="E861" s="5"/>
      <c r="F861" s="8"/>
      <c r="G861" s="8"/>
      <c r="H861" s="9"/>
      <c r="I861" s="9"/>
      <c r="J861" s="9"/>
      <c r="K861" s="9"/>
      <c r="L861" s="9"/>
      <c r="M861" s="9"/>
      <c r="N861" s="9"/>
      <c r="O861" s="9"/>
      <c r="P861" s="9"/>
    </row>
    <row r="862" ht="30.0" customHeight="1">
      <c r="A862" s="5"/>
      <c r="B862" s="5"/>
      <c r="C862" s="11"/>
      <c r="D862" s="5"/>
      <c r="E862" s="5"/>
      <c r="F862" s="8"/>
      <c r="G862" s="8"/>
      <c r="H862" s="9"/>
      <c r="I862" s="9"/>
      <c r="J862" s="9"/>
      <c r="K862" s="9"/>
      <c r="L862" s="9"/>
      <c r="M862" s="9"/>
      <c r="N862" s="9"/>
      <c r="O862" s="9"/>
      <c r="P862" s="9"/>
    </row>
    <row r="863" ht="30.0" customHeight="1">
      <c r="A863" s="5"/>
      <c r="B863" s="5"/>
      <c r="C863" s="11"/>
      <c r="D863" s="5"/>
      <c r="E863" s="5"/>
      <c r="F863" s="8"/>
      <c r="G863" s="8"/>
      <c r="H863" s="9"/>
      <c r="I863" s="9"/>
      <c r="J863" s="9"/>
      <c r="K863" s="9"/>
      <c r="L863" s="9"/>
      <c r="M863" s="9"/>
      <c r="N863" s="9"/>
      <c r="O863" s="9"/>
      <c r="P863" s="9"/>
    </row>
    <row r="864" ht="30.0" customHeight="1">
      <c r="A864" s="5"/>
      <c r="B864" s="5"/>
      <c r="C864" s="11"/>
      <c r="D864" s="5"/>
      <c r="E864" s="5"/>
      <c r="F864" s="8"/>
      <c r="G864" s="8"/>
      <c r="H864" s="9"/>
      <c r="I864" s="9"/>
      <c r="J864" s="9"/>
      <c r="K864" s="9"/>
      <c r="L864" s="9"/>
      <c r="M864" s="9"/>
      <c r="N864" s="9"/>
      <c r="O864" s="9"/>
      <c r="P864" s="9"/>
    </row>
    <row r="865" ht="30.0" customHeight="1">
      <c r="A865" s="5"/>
      <c r="B865" s="5"/>
      <c r="C865" s="11"/>
      <c r="D865" s="5"/>
      <c r="E865" s="5"/>
      <c r="F865" s="8"/>
      <c r="G865" s="8"/>
      <c r="H865" s="9"/>
      <c r="I865" s="9"/>
      <c r="J865" s="9"/>
      <c r="K865" s="9"/>
      <c r="L865" s="9"/>
      <c r="M865" s="9"/>
      <c r="N865" s="9"/>
      <c r="O865" s="9"/>
      <c r="P865" s="9"/>
    </row>
    <row r="866" ht="30.0" customHeight="1">
      <c r="A866" s="5"/>
      <c r="B866" s="5"/>
      <c r="C866" s="11"/>
      <c r="D866" s="5"/>
      <c r="E866" s="5"/>
      <c r="F866" s="8"/>
      <c r="G866" s="8"/>
      <c r="H866" s="9"/>
      <c r="I866" s="9"/>
      <c r="J866" s="9"/>
      <c r="K866" s="9"/>
      <c r="L866" s="9"/>
      <c r="M866" s="9"/>
      <c r="N866" s="9"/>
      <c r="O866" s="9"/>
      <c r="P866" s="9"/>
    </row>
    <row r="867" ht="30.0" customHeight="1">
      <c r="A867" s="5"/>
      <c r="B867" s="5"/>
      <c r="C867" s="11"/>
      <c r="D867" s="5"/>
      <c r="E867" s="5"/>
      <c r="F867" s="8"/>
      <c r="G867" s="8"/>
      <c r="H867" s="9"/>
      <c r="I867" s="9"/>
      <c r="J867" s="9"/>
      <c r="K867" s="9"/>
      <c r="L867" s="9"/>
      <c r="M867" s="9"/>
      <c r="N867" s="9"/>
      <c r="O867" s="9"/>
      <c r="P867" s="9"/>
    </row>
    <row r="868" ht="30.0" customHeight="1">
      <c r="A868" s="5"/>
      <c r="B868" s="5"/>
      <c r="C868" s="11"/>
      <c r="D868" s="5"/>
      <c r="E868" s="5"/>
      <c r="F868" s="8"/>
      <c r="G868" s="8"/>
      <c r="H868" s="9"/>
      <c r="I868" s="9"/>
      <c r="J868" s="9"/>
      <c r="K868" s="9"/>
      <c r="L868" s="9"/>
      <c r="M868" s="9"/>
      <c r="N868" s="9"/>
      <c r="O868" s="9"/>
      <c r="P868" s="9"/>
    </row>
    <row r="869" ht="30.0" customHeight="1">
      <c r="A869" s="5"/>
      <c r="B869" s="5"/>
      <c r="C869" s="11"/>
      <c r="D869" s="5"/>
      <c r="E869" s="5"/>
      <c r="F869" s="8"/>
      <c r="G869" s="8"/>
      <c r="H869" s="9"/>
      <c r="I869" s="9"/>
      <c r="J869" s="9"/>
      <c r="K869" s="9"/>
      <c r="L869" s="9"/>
      <c r="M869" s="9"/>
      <c r="N869" s="9"/>
      <c r="O869" s="9"/>
      <c r="P869" s="9"/>
    </row>
    <row r="870" ht="30.0" customHeight="1">
      <c r="A870" s="5"/>
      <c r="B870" s="5"/>
      <c r="C870" s="11"/>
      <c r="D870" s="5"/>
      <c r="E870" s="5"/>
      <c r="F870" s="8"/>
      <c r="G870" s="8"/>
      <c r="H870" s="9"/>
      <c r="I870" s="9"/>
      <c r="J870" s="9"/>
      <c r="K870" s="9"/>
      <c r="L870" s="9"/>
      <c r="M870" s="9"/>
      <c r="N870" s="9"/>
      <c r="O870" s="9"/>
      <c r="P870" s="9"/>
    </row>
    <row r="871" ht="30.0" customHeight="1">
      <c r="A871" s="5"/>
      <c r="B871" s="5"/>
      <c r="C871" s="11"/>
      <c r="D871" s="5"/>
      <c r="E871" s="5"/>
      <c r="F871" s="8"/>
      <c r="G871" s="8"/>
      <c r="H871" s="9"/>
      <c r="I871" s="9"/>
      <c r="J871" s="9"/>
      <c r="K871" s="9"/>
      <c r="L871" s="9"/>
      <c r="M871" s="9"/>
      <c r="N871" s="9"/>
      <c r="O871" s="9"/>
      <c r="P871" s="9"/>
    </row>
    <row r="872" ht="30.0" customHeight="1">
      <c r="A872" s="5"/>
      <c r="B872" s="5"/>
      <c r="C872" s="11"/>
      <c r="D872" s="5"/>
      <c r="E872" s="5"/>
      <c r="F872" s="8"/>
      <c r="G872" s="8"/>
      <c r="H872" s="9"/>
      <c r="I872" s="9"/>
      <c r="J872" s="9"/>
      <c r="K872" s="9"/>
      <c r="L872" s="9"/>
      <c r="M872" s="9"/>
      <c r="N872" s="9"/>
      <c r="O872" s="9"/>
      <c r="P872" s="9"/>
    </row>
    <row r="873" ht="30.0" customHeight="1">
      <c r="A873" s="5"/>
      <c r="B873" s="5"/>
      <c r="C873" s="11"/>
      <c r="D873" s="5"/>
      <c r="E873" s="5"/>
      <c r="F873" s="8"/>
      <c r="G873" s="8"/>
      <c r="H873" s="9"/>
      <c r="I873" s="9"/>
      <c r="J873" s="9"/>
      <c r="K873" s="9"/>
      <c r="L873" s="9"/>
      <c r="M873" s="9"/>
      <c r="N873" s="9"/>
      <c r="O873" s="9"/>
      <c r="P873" s="9"/>
    </row>
    <row r="874" ht="30.0" customHeight="1">
      <c r="A874" s="5"/>
      <c r="B874" s="5"/>
      <c r="C874" s="11"/>
      <c r="D874" s="5"/>
      <c r="E874" s="5"/>
      <c r="F874" s="8"/>
      <c r="G874" s="8"/>
      <c r="H874" s="9"/>
      <c r="I874" s="9"/>
      <c r="J874" s="9"/>
      <c r="K874" s="9"/>
      <c r="L874" s="9"/>
      <c r="M874" s="9"/>
      <c r="N874" s="9"/>
      <c r="O874" s="9"/>
      <c r="P874" s="9"/>
    </row>
    <row r="875" ht="30.0" customHeight="1">
      <c r="A875" s="5"/>
      <c r="B875" s="5"/>
      <c r="C875" s="11"/>
      <c r="D875" s="5"/>
      <c r="E875" s="5"/>
      <c r="F875" s="8"/>
      <c r="G875" s="8"/>
      <c r="H875" s="9"/>
      <c r="I875" s="9"/>
      <c r="J875" s="9"/>
      <c r="K875" s="9"/>
      <c r="L875" s="9"/>
      <c r="M875" s="9"/>
      <c r="N875" s="9"/>
      <c r="O875" s="9"/>
      <c r="P875" s="9"/>
    </row>
    <row r="876" ht="30.0" customHeight="1">
      <c r="A876" s="5"/>
      <c r="B876" s="5"/>
      <c r="C876" s="11"/>
      <c r="D876" s="5"/>
      <c r="E876" s="5"/>
      <c r="F876" s="8"/>
      <c r="G876" s="8"/>
      <c r="H876" s="9"/>
      <c r="I876" s="9"/>
      <c r="J876" s="9"/>
      <c r="K876" s="9"/>
      <c r="L876" s="9"/>
      <c r="M876" s="9"/>
      <c r="N876" s="9"/>
      <c r="O876" s="9"/>
      <c r="P876" s="9"/>
    </row>
    <row r="877" ht="30.0" customHeight="1">
      <c r="A877" s="5"/>
      <c r="B877" s="5"/>
      <c r="C877" s="11"/>
      <c r="D877" s="5"/>
      <c r="E877" s="5"/>
      <c r="F877" s="8"/>
      <c r="G877" s="8"/>
      <c r="H877" s="9"/>
      <c r="I877" s="9"/>
      <c r="J877" s="9"/>
      <c r="K877" s="9"/>
      <c r="L877" s="9"/>
      <c r="M877" s="9"/>
      <c r="N877" s="9"/>
      <c r="O877" s="9"/>
      <c r="P877" s="9"/>
    </row>
    <row r="878" ht="30.0" customHeight="1">
      <c r="A878" s="5"/>
      <c r="B878" s="5"/>
      <c r="C878" s="11"/>
      <c r="D878" s="5"/>
      <c r="E878" s="5"/>
      <c r="F878" s="8"/>
      <c r="G878" s="8"/>
      <c r="H878" s="9"/>
      <c r="I878" s="9"/>
      <c r="J878" s="9"/>
      <c r="K878" s="9"/>
      <c r="L878" s="9"/>
      <c r="M878" s="9"/>
      <c r="N878" s="9"/>
      <c r="O878" s="9"/>
      <c r="P878" s="9"/>
    </row>
    <row r="879" ht="30.0" customHeight="1">
      <c r="A879" s="5"/>
      <c r="B879" s="5"/>
      <c r="C879" s="11"/>
      <c r="D879" s="5"/>
      <c r="E879" s="5"/>
      <c r="F879" s="8"/>
      <c r="G879" s="8"/>
      <c r="H879" s="9"/>
      <c r="I879" s="9"/>
      <c r="J879" s="9"/>
      <c r="K879" s="9"/>
      <c r="L879" s="9"/>
      <c r="M879" s="9"/>
      <c r="N879" s="9"/>
      <c r="O879" s="9"/>
      <c r="P879" s="9"/>
    </row>
    <row r="880" ht="30.0" customHeight="1">
      <c r="A880" s="5"/>
      <c r="B880" s="5"/>
      <c r="C880" s="11"/>
      <c r="D880" s="5"/>
      <c r="E880" s="5"/>
      <c r="F880" s="8"/>
      <c r="G880" s="8"/>
      <c r="H880" s="9"/>
      <c r="I880" s="9"/>
      <c r="J880" s="9"/>
      <c r="K880" s="9"/>
      <c r="L880" s="9"/>
      <c r="M880" s="9"/>
      <c r="N880" s="9"/>
      <c r="O880" s="9"/>
      <c r="P880" s="9"/>
    </row>
    <row r="881" ht="30.0" customHeight="1">
      <c r="A881" s="5"/>
      <c r="B881" s="5"/>
      <c r="C881" s="11"/>
      <c r="D881" s="5"/>
      <c r="E881" s="5"/>
      <c r="F881" s="8"/>
      <c r="G881" s="8"/>
      <c r="H881" s="9"/>
      <c r="I881" s="9"/>
      <c r="J881" s="9"/>
      <c r="K881" s="9"/>
      <c r="L881" s="9"/>
      <c r="M881" s="9"/>
      <c r="N881" s="9"/>
      <c r="O881" s="9"/>
      <c r="P881" s="9"/>
    </row>
    <row r="882" ht="30.0" customHeight="1">
      <c r="A882" s="5"/>
      <c r="B882" s="5"/>
      <c r="C882" s="11"/>
      <c r="D882" s="5"/>
      <c r="E882" s="5"/>
      <c r="F882" s="8"/>
      <c r="G882" s="8"/>
      <c r="H882" s="9"/>
      <c r="I882" s="9"/>
      <c r="J882" s="9"/>
      <c r="K882" s="9"/>
      <c r="L882" s="9"/>
      <c r="M882" s="9"/>
      <c r="N882" s="9"/>
      <c r="O882" s="9"/>
      <c r="P882" s="9"/>
    </row>
    <row r="883" ht="30.0" customHeight="1">
      <c r="A883" s="5"/>
      <c r="B883" s="5"/>
      <c r="C883" s="11"/>
      <c r="D883" s="5"/>
      <c r="E883" s="5"/>
      <c r="F883" s="8"/>
      <c r="G883" s="8"/>
      <c r="H883" s="9"/>
      <c r="I883" s="9"/>
      <c r="J883" s="9"/>
      <c r="K883" s="9"/>
      <c r="L883" s="9"/>
      <c r="M883" s="9"/>
      <c r="N883" s="9"/>
      <c r="O883" s="9"/>
      <c r="P883" s="9"/>
    </row>
    <row r="884" ht="30.0" customHeight="1">
      <c r="A884" s="5"/>
      <c r="B884" s="5"/>
      <c r="C884" s="11"/>
      <c r="D884" s="5"/>
      <c r="E884" s="5"/>
      <c r="F884" s="8"/>
      <c r="G884" s="8"/>
      <c r="H884" s="9"/>
      <c r="I884" s="9"/>
      <c r="J884" s="9"/>
      <c r="K884" s="9"/>
      <c r="L884" s="9"/>
      <c r="M884" s="9"/>
      <c r="N884" s="9"/>
      <c r="O884" s="9"/>
      <c r="P884" s="9"/>
    </row>
    <row r="885" ht="30.0" customHeight="1">
      <c r="A885" s="5"/>
      <c r="B885" s="5"/>
      <c r="C885" s="11"/>
      <c r="D885" s="5"/>
      <c r="E885" s="5"/>
      <c r="F885" s="8"/>
      <c r="G885" s="8"/>
      <c r="H885" s="9"/>
      <c r="I885" s="9"/>
      <c r="J885" s="9"/>
      <c r="K885" s="9"/>
      <c r="L885" s="9"/>
      <c r="M885" s="9"/>
      <c r="N885" s="9"/>
      <c r="O885" s="9"/>
      <c r="P885" s="9"/>
    </row>
    <row r="886" ht="30.0" customHeight="1">
      <c r="A886" s="5"/>
      <c r="B886" s="5"/>
      <c r="C886" s="11"/>
      <c r="D886" s="5"/>
      <c r="E886" s="5"/>
      <c r="F886" s="8"/>
      <c r="G886" s="8"/>
      <c r="H886" s="9"/>
      <c r="I886" s="9"/>
      <c r="J886" s="9"/>
      <c r="K886" s="9"/>
      <c r="L886" s="9"/>
      <c r="M886" s="9"/>
      <c r="N886" s="9"/>
      <c r="O886" s="9"/>
      <c r="P886" s="9"/>
    </row>
    <row r="887" ht="30.0" customHeight="1">
      <c r="A887" s="5"/>
      <c r="B887" s="5"/>
      <c r="C887" s="11"/>
      <c r="D887" s="5"/>
      <c r="E887" s="5"/>
      <c r="F887" s="8"/>
      <c r="G887" s="8"/>
      <c r="H887" s="9"/>
      <c r="I887" s="9"/>
      <c r="J887" s="9"/>
      <c r="K887" s="9"/>
      <c r="L887" s="9"/>
      <c r="M887" s="9"/>
      <c r="N887" s="9"/>
      <c r="O887" s="9"/>
      <c r="P887" s="9"/>
    </row>
    <row r="888" ht="30.0" customHeight="1">
      <c r="A888" s="5"/>
      <c r="B888" s="5"/>
      <c r="C888" s="11"/>
      <c r="D888" s="5"/>
      <c r="E888" s="5"/>
      <c r="F888" s="8"/>
      <c r="G888" s="8"/>
      <c r="H888" s="9"/>
      <c r="I888" s="9"/>
      <c r="J888" s="9"/>
      <c r="K888" s="9"/>
      <c r="L888" s="9"/>
      <c r="M888" s="9"/>
      <c r="N888" s="9"/>
      <c r="O888" s="9"/>
      <c r="P888" s="9"/>
    </row>
    <row r="889" ht="30.0" customHeight="1">
      <c r="A889" s="5"/>
      <c r="B889" s="5"/>
      <c r="C889" s="11"/>
      <c r="D889" s="5"/>
      <c r="E889" s="5"/>
      <c r="F889" s="8"/>
      <c r="G889" s="8"/>
      <c r="H889" s="9"/>
      <c r="I889" s="9"/>
      <c r="J889" s="9"/>
      <c r="K889" s="9"/>
      <c r="L889" s="9"/>
      <c r="M889" s="9"/>
      <c r="N889" s="9"/>
      <c r="O889" s="9"/>
      <c r="P889" s="9"/>
    </row>
    <row r="890" ht="30.0" customHeight="1">
      <c r="A890" s="5"/>
      <c r="B890" s="5"/>
      <c r="C890" s="11"/>
      <c r="D890" s="5"/>
      <c r="E890" s="5"/>
      <c r="F890" s="8"/>
      <c r="G890" s="8"/>
      <c r="H890" s="9"/>
      <c r="I890" s="9"/>
      <c r="J890" s="9"/>
      <c r="K890" s="9"/>
      <c r="L890" s="9"/>
      <c r="M890" s="9"/>
      <c r="N890" s="9"/>
      <c r="O890" s="9"/>
      <c r="P890" s="9"/>
    </row>
    <row r="891" ht="30.0" customHeight="1">
      <c r="A891" s="5"/>
      <c r="B891" s="5"/>
      <c r="C891" s="11"/>
      <c r="D891" s="5"/>
      <c r="E891" s="5"/>
      <c r="F891" s="8"/>
      <c r="G891" s="8"/>
      <c r="H891" s="9"/>
      <c r="I891" s="9"/>
      <c r="J891" s="9"/>
      <c r="K891" s="9"/>
      <c r="L891" s="9"/>
      <c r="M891" s="9"/>
      <c r="N891" s="9"/>
      <c r="O891" s="9"/>
      <c r="P891" s="9"/>
    </row>
    <row r="892" ht="30.0" customHeight="1">
      <c r="A892" s="5"/>
      <c r="B892" s="5"/>
      <c r="C892" s="11"/>
      <c r="D892" s="5"/>
      <c r="E892" s="5"/>
      <c r="F892" s="8"/>
      <c r="G892" s="8"/>
      <c r="H892" s="9"/>
      <c r="I892" s="9"/>
      <c r="J892" s="9"/>
      <c r="K892" s="9"/>
      <c r="L892" s="9"/>
      <c r="M892" s="9"/>
      <c r="N892" s="9"/>
      <c r="O892" s="9"/>
      <c r="P892" s="9"/>
    </row>
    <row r="893" ht="30.0" customHeight="1">
      <c r="A893" s="5"/>
      <c r="B893" s="5"/>
      <c r="C893" s="11"/>
      <c r="D893" s="5"/>
      <c r="E893" s="5"/>
      <c r="F893" s="8"/>
      <c r="G893" s="8"/>
      <c r="H893" s="9"/>
      <c r="I893" s="9"/>
      <c r="J893" s="9"/>
      <c r="K893" s="9"/>
      <c r="L893" s="9"/>
      <c r="M893" s="9"/>
      <c r="N893" s="9"/>
      <c r="O893" s="9"/>
      <c r="P893" s="9"/>
    </row>
    <row r="894" ht="30.0" customHeight="1">
      <c r="A894" s="5"/>
      <c r="B894" s="5"/>
      <c r="C894" s="11"/>
      <c r="D894" s="5"/>
      <c r="E894" s="5"/>
      <c r="F894" s="8"/>
      <c r="G894" s="8"/>
      <c r="H894" s="9"/>
      <c r="I894" s="9"/>
      <c r="J894" s="9"/>
      <c r="K894" s="9"/>
      <c r="L894" s="9"/>
      <c r="M894" s="9"/>
      <c r="N894" s="9"/>
      <c r="O894" s="9"/>
      <c r="P894" s="9"/>
    </row>
    <row r="895" ht="30.0" customHeight="1">
      <c r="A895" s="5"/>
      <c r="B895" s="5"/>
      <c r="C895" s="11"/>
      <c r="D895" s="5"/>
      <c r="E895" s="5"/>
      <c r="F895" s="8"/>
      <c r="G895" s="8"/>
      <c r="H895" s="9"/>
      <c r="I895" s="9"/>
      <c r="J895" s="9"/>
      <c r="K895" s="9"/>
      <c r="L895" s="9"/>
      <c r="M895" s="9"/>
      <c r="N895" s="9"/>
      <c r="O895" s="9"/>
      <c r="P895" s="9"/>
    </row>
    <row r="896" ht="30.0" customHeight="1">
      <c r="A896" s="5"/>
      <c r="B896" s="5"/>
      <c r="C896" s="11"/>
      <c r="D896" s="5"/>
      <c r="E896" s="5"/>
      <c r="F896" s="8"/>
      <c r="G896" s="8"/>
      <c r="H896" s="9"/>
      <c r="I896" s="9"/>
      <c r="J896" s="9"/>
      <c r="K896" s="9"/>
      <c r="L896" s="9"/>
      <c r="M896" s="9"/>
      <c r="N896" s="9"/>
      <c r="O896" s="9"/>
      <c r="P896" s="9"/>
    </row>
    <row r="897" ht="30.0" customHeight="1">
      <c r="A897" s="5"/>
      <c r="B897" s="5"/>
      <c r="C897" s="11"/>
      <c r="D897" s="5"/>
      <c r="E897" s="5"/>
      <c r="F897" s="8"/>
      <c r="G897" s="8"/>
      <c r="H897" s="9"/>
      <c r="I897" s="9"/>
      <c r="J897" s="9"/>
      <c r="K897" s="9"/>
      <c r="L897" s="9"/>
      <c r="M897" s="9"/>
      <c r="N897" s="9"/>
      <c r="O897" s="9"/>
      <c r="P897" s="9"/>
    </row>
    <row r="898" ht="30.0" customHeight="1">
      <c r="A898" s="5"/>
      <c r="B898" s="5"/>
      <c r="C898" s="11"/>
      <c r="D898" s="5"/>
      <c r="E898" s="5"/>
      <c r="F898" s="8"/>
      <c r="G898" s="8"/>
      <c r="H898" s="9"/>
      <c r="I898" s="9"/>
      <c r="J898" s="9"/>
      <c r="K898" s="9"/>
      <c r="L898" s="9"/>
      <c r="M898" s="9"/>
      <c r="N898" s="9"/>
      <c r="O898" s="9"/>
      <c r="P898" s="9"/>
    </row>
    <row r="899" ht="30.0" customHeight="1">
      <c r="A899" s="5"/>
      <c r="B899" s="5"/>
      <c r="C899" s="11"/>
      <c r="D899" s="5"/>
      <c r="E899" s="5"/>
      <c r="F899" s="8"/>
      <c r="G899" s="8"/>
      <c r="H899" s="9"/>
      <c r="I899" s="9"/>
      <c r="J899" s="9"/>
      <c r="K899" s="9"/>
      <c r="L899" s="9"/>
      <c r="M899" s="9"/>
      <c r="N899" s="9"/>
      <c r="O899" s="9"/>
      <c r="P899" s="9"/>
    </row>
    <row r="900" ht="30.0" customHeight="1">
      <c r="A900" s="5"/>
      <c r="B900" s="5"/>
      <c r="C900" s="11"/>
      <c r="D900" s="5"/>
      <c r="E900" s="5"/>
      <c r="F900" s="8"/>
      <c r="G900" s="8"/>
      <c r="H900" s="9"/>
      <c r="I900" s="9"/>
      <c r="J900" s="9"/>
      <c r="K900" s="9"/>
      <c r="L900" s="9"/>
      <c r="M900" s="9"/>
      <c r="N900" s="9"/>
      <c r="O900" s="9"/>
      <c r="P900" s="9"/>
    </row>
    <row r="901" ht="30.0" customHeight="1">
      <c r="A901" s="5"/>
      <c r="B901" s="5"/>
      <c r="C901" s="11"/>
      <c r="D901" s="5"/>
      <c r="E901" s="5"/>
      <c r="F901" s="8"/>
      <c r="G901" s="8"/>
      <c r="H901" s="9"/>
      <c r="I901" s="9"/>
      <c r="J901" s="9"/>
      <c r="K901" s="9"/>
      <c r="L901" s="9"/>
      <c r="M901" s="9"/>
      <c r="N901" s="9"/>
      <c r="O901" s="9"/>
      <c r="P901" s="9"/>
    </row>
    <row r="902" ht="30.0" customHeight="1">
      <c r="A902" s="5"/>
      <c r="B902" s="5"/>
      <c r="C902" s="11"/>
      <c r="D902" s="5"/>
      <c r="E902" s="5"/>
      <c r="F902" s="8"/>
      <c r="G902" s="8"/>
      <c r="H902" s="9"/>
      <c r="I902" s="9"/>
      <c r="J902" s="9"/>
      <c r="K902" s="9"/>
      <c r="L902" s="9"/>
      <c r="M902" s="9"/>
      <c r="N902" s="9"/>
      <c r="O902" s="9"/>
      <c r="P902" s="9"/>
    </row>
    <row r="903" ht="30.0" customHeight="1">
      <c r="A903" s="5"/>
      <c r="B903" s="5"/>
      <c r="C903" s="11"/>
      <c r="D903" s="5"/>
      <c r="E903" s="5"/>
      <c r="F903" s="8"/>
      <c r="G903" s="8"/>
      <c r="H903" s="9"/>
      <c r="I903" s="9"/>
      <c r="J903" s="9"/>
      <c r="K903" s="9"/>
      <c r="L903" s="9"/>
      <c r="M903" s="9"/>
      <c r="N903" s="9"/>
      <c r="O903" s="9"/>
      <c r="P903" s="9"/>
    </row>
    <row r="904" ht="30.0" customHeight="1">
      <c r="A904" s="5"/>
      <c r="B904" s="5"/>
      <c r="C904" s="11"/>
      <c r="D904" s="5"/>
      <c r="E904" s="5"/>
      <c r="F904" s="8"/>
      <c r="G904" s="8"/>
      <c r="H904" s="9"/>
      <c r="I904" s="9"/>
      <c r="J904" s="9"/>
      <c r="K904" s="9"/>
      <c r="L904" s="9"/>
      <c r="M904" s="9"/>
      <c r="N904" s="9"/>
      <c r="O904" s="9"/>
      <c r="P904" s="9"/>
    </row>
    <row r="905" ht="30.0" customHeight="1">
      <c r="A905" s="5"/>
      <c r="B905" s="5"/>
      <c r="C905" s="11"/>
      <c r="D905" s="5"/>
      <c r="E905" s="5"/>
      <c r="F905" s="8"/>
      <c r="G905" s="8"/>
      <c r="H905" s="9"/>
      <c r="I905" s="9"/>
      <c r="J905" s="9"/>
      <c r="K905" s="9"/>
      <c r="L905" s="9"/>
      <c r="M905" s="9"/>
      <c r="N905" s="9"/>
      <c r="O905" s="9"/>
      <c r="P905" s="9"/>
    </row>
    <row r="906" ht="30.0" customHeight="1">
      <c r="A906" s="5"/>
      <c r="B906" s="5"/>
      <c r="C906" s="11"/>
      <c r="D906" s="5"/>
      <c r="E906" s="5"/>
      <c r="F906" s="8"/>
      <c r="G906" s="8"/>
      <c r="H906" s="9"/>
      <c r="I906" s="9"/>
      <c r="J906" s="9"/>
      <c r="K906" s="9"/>
      <c r="L906" s="9"/>
      <c r="M906" s="9"/>
      <c r="N906" s="9"/>
      <c r="O906" s="9"/>
      <c r="P906" s="9"/>
    </row>
    <row r="907" ht="30.0" customHeight="1">
      <c r="A907" s="5"/>
      <c r="B907" s="5"/>
      <c r="C907" s="11"/>
      <c r="D907" s="5"/>
      <c r="E907" s="5"/>
      <c r="F907" s="8"/>
      <c r="G907" s="8"/>
      <c r="H907" s="9"/>
      <c r="I907" s="9"/>
      <c r="J907" s="9"/>
      <c r="K907" s="9"/>
      <c r="L907" s="9"/>
      <c r="M907" s="9"/>
      <c r="N907" s="9"/>
      <c r="O907" s="9"/>
      <c r="P907" s="9"/>
    </row>
    <row r="908" ht="30.0" customHeight="1">
      <c r="A908" s="5"/>
      <c r="B908" s="5"/>
      <c r="C908" s="11"/>
      <c r="D908" s="5"/>
      <c r="E908" s="5"/>
      <c r="F908" s="8"/>
      <c r="G908" s="8"/>
      <c r="H908" s="9"/>
      <c r="I908" s="9"/>
      <c r="J908" s="9"/>
      <c r="K908" s="9"/>
      <c r="L908" s="9"/>
      <c r="M908" s="9"/>
      <c r="N908" s="9"/>
      <c r="O908" s="9"/>
      <c r="P908" s="9"/>
    </row>
    <row r="909" ht="30.0" customHeight="1">
      <c r="A909" s="5"/>
      <c r="B909" s="5"/>
      <c r="C909" s="11"/>
      <c r="D909" s="5"/>
      <c r="E909" s="5"/>
      <c r="F909" s="8"/>
      <c r="G909" s="8"/>
      <c r="H909" s="9"/>
      <c r="I909" s="9"/>
      <c r="J909" s="9"/>
      <c r="K909" s="9"/>
      <c r="L909" s="9"/>
      <c r="M909" s="9"/>
      <c r="N909" s="9"/>
      <c r="O909" s="9"/>
      <c r="P909" s="9"/>
    </row>
    <row r="910" ht="30.0" customHeight="1">
      <c r="A910" s="5"/>
      <c r="B910" s="5"/>
      <c r="C910" s="11"/>
      <c r="D910" s="5"/>
      <c r="E910" s="5"/>
      <c r="F910" s="8"/>
      <c r="G910" s="8"/>
      <c r="H910" s="9"/>
      <c r="I910" s="9"/>
      <c r="J910" s="9"/>
      <c r="K910" s="9"/>
      <c r="L910" s="9"/>
      <c r="M910" s="9"/>
      <c r="N910" s="9"/>
      <c r="O910" s="9"/>
      <c r="P910" s="9"/>
    </row>
    <row r="911" ht="30.0" customHeight="1">
      <c r="A911" s="5"/>
      <c r="B911" s="5"/>
      <c r="C911" s="11"/>
      <c r="D911" s="5"/>
      <c r="E911" s="5"/>
      <c r="F911" s="8"/>
      <c r="G911" s="8"/>
      <c r="H911" s="9"/>
      <c r="I911" s="9"/>
      <c r="J911" s="9"/>
      <c r="K911" s="9"/>
      <c r="L911" s="9"/>
      <c r="M911" s="9"/>
      <c r="N911" s="9"/>
      <c r="O911" s="9"/>
      <c r="P911" s="9"/>
    </row>
    <row r="912" ht="30.0" customHeight="1">
      <c r="A912" s="5"/>
      <c r="B912" s="5"/>
      <c r="C912" s="11"/>
      <c r="D912" s="5"/>
      <c r="E912" s="5"/>
      <c r="F912" s="8"/>
      <c r="G912" s="8"/>
      <c r="H912" s="9"/>
      <c r="I912" s="9"/>
      <c r="J912" s="9"/>
      <c r="K912" s="9"/>
      <c r="L912" s="9"/>
      <c r="M912" s="9"/>
      <c r="N912" s="9"/>
      <c r="O912" s="9"/>
      <c r="P912" s="9"/>
    </row>
    <row r="913" ht="30.0" customHeight="1">
      <c r="A913" s="5"/>
      <c r="B913" s="5"/>
      <c r="C913" s="11"/>
      <c r="D913" s="5"/>
      <c r="E913" s="5"/>
      <c r="F913" s="8"/>
      <c r="G913" s="8"/>
      <c r="H913" s="9"/>
      <c r="I913" s="9"/>
      <c r="J913" s="9"/>
      <c r="K913" s="9"/>
      <c r="L913" s="9"/>
      <c r="M913" s="9"/>
      <c r="N913" s="9"/>
      <c r="O913" s="9"/>
      <c r="P913" s="9"/>
    </row>
    <row r="914" ht="30.0" customHeight="1">
      <c r="A914" s="5"/>
      <c r="B914" s="5"/>
      <c r="C914" s="11"/>
      <c r="D914" s="5"/>
      <c r="E914" s="5"/>
      <c r="F914" s="8"/>
      <c r="G914" s="8"/>
      <c r="H914" s="9"/>
      <c r="I914" s="9"/>
      <c r="J914" s="9"/>
      <c r="K914" s="9"/>
      <c r="L914" s="9"/>
      <c r="M914" s="9"/>
      <c r="N914" s="9"/>
      <c r="O914" s="9"/>
      <c r="P914" s="9"/>
    </row>
    <row r="915" ht="30.0" customHeight="1">
      <c r="A915" s="5"/>
      <c r="B915" s="5"/>
      <c r="C915" s="11"/>
      <c r="D915" s="5"/>
      <c r="E915" s="5"/>
      <c r="F915" s="8"/>
      <c r="G915" s="8"/>
      <c r="H915" s="9"/>
      <c r="I915" s="9"/>
      <c r="J915" s="9"/>
      <c r="K915" s="9"/>
      <c r="L915" s="9"/>
      <c r="M915" s="9"/>
      <c r="N915" s="9"/>
      <c r="O915" s="9"/>
      <c r="P915" s="9"/>
    </row>
    <row r="916" ht="30.0" customHeight="1">
      <c r="A916" s="5"/>
      <c r="B916" s="5"/>
      <c r="C916" s="11"/>
      <c r="D916" s="5"/>
      <c r="E916" s="5"/>
      <c r="F916" s="8"/>
      <c r="G916" s="8"/>
      <c r="H916" s="9"/>
      <c r="I916" s="9"/>
      <c r="J916" s="9"/>
      <c r="K916" s="9"/>
      <c r="L916" s="9"/>
      <c r="M916" s="9"/>
      <c r="N916" s="9"/>
      <c r="O916" s="9"/>
      <c r="P916" s="9"/>
    </row>
    <row r="917" ht="30.0" customHeight="1">
      <c r="A917" s="5"/>
      <c r="B917" s="5"/>
      <c r="C917" s="11"/>
      <c r="D917" s="5"/>
      <c r="E917" s="5"/>
      <c r="F917" s="8"/>
      <c r="G917" s="8"/>
      <c r="H917" s="9"/>
      <c r="I917" s="9"/>
      <c r="J917" s="9"/>
      <c r="K917" s="9"/>
      <c r="L917" s="9"/>
      <c r="M917" s="9"/>
      <c r="N917" s="9"/>
      <c r="O917" s="9"/>
      <c r="P917" s="9"/>
    </row>
    <row r="918" ht="30.0" customHeight="1">
      <c r="A918" s="5"/>
      <c r="B918" s="5"/>
      <c r="C918" s="11"/>
      <c r="D918" s="5"/>
      <c r="E918" s="5"/>
      <c r="F918" s="8"/>
      <c r="G918" s="8"/>
      <c r="H918" s="9"/>
      <c r="I918" s="9"/>
      <c r="J918" s="9"/>
      <c r="K918" s="9"/>
      <c r="L918" s="9"/>
      <c r="M918" s="9"/>
      <c r="N918" s="9"/>
      <c r="O918" s="9"/>
      <c r="P918" s="9"/>
    </row>
    <row r="919" ht="30.0" customHeight="1">
      <c r="A919" s="5"/>
      <c r="B919" s="5"/>
      <c r="C919" s="11"/>
      <c r="D919" s="5"/>
      <c r="E919" s="5"/>
      <c r="F919" s="8"/>
      <c r="G919" s="8"/>
      <c r="H919" s="9"/>
      <c r="I919" s="9"/>
      <c r="J919" s="9"/>
      <c r="K919" s="9"/>
      <c r="L919" s="9"/>
      <c r="M919" s="9"/>
      <c r="N919" s="9"/>
      <c r="O919" s="9"/>
      <c r="P919" s="9"/>
    </row>
    <row r="920" ht="30.0" customHeight="1">
      <c r="A920" s="5"/>
      <c r="B920" s="5"/>
      <c r="C920" s="11"/>
      <c r="D920" s="5"/>
      <c r="E920" s="5"/>
      <c r="F920" s="8"/>
      <c r="G920" s="8"/>
      <c r="H920" s="9"/>
      <c r="I920" s="9"/>
      <c r="J920" s="9"/>
      <c r="K920" s="9"/>
      <c r="L920" s="9"/>
      <c r="M920" s="9"/>
      <c r="N920" s="9"/>
      <c r="O920" s="9"/>
      <c r="P920" s="9"/>
    </row>
    <row r="921" ht="30.0" customHeight="1">
      <c r="A921" s="5"/>
      <c r="B921" s="5"/>
      <c r="C921" s="11"/>
      <c r="D921" s="5"/>
      <c r="E921" s="5"/>
      <c r="F921" s="8"/>
      <c r="G921" s="8"/>
      <c r="H921" s="9"/>
      <c r="I921" s="9"/>
      <c r="J921" s="9"/>
      <c r="K921" s="9"/>
      <c r="L921" s="9"/>
      <c r="M921" s="9"/>
      <c r="N921" s="9"/>
      <c r="O921" s="9"/>
      <c r="P921" s="9"/>
    </row>
    <row r="922" ht="30.0" customHeight="1">
      <c r="A922" s="5"/>
      <c r="B922" s="5"/>
      <c r="C922" s="11"/>
      <c r="D922" s="5"/>
      <c r="E922" s="5"/>
      <c r="F922" s="8"/>
      <c r="G922" s="8"/>
      <c r="H922" s="9"/>
      <c r="I922" s="9"/>
      <c r="J922" s="9"/>
      <c r="K922" s="9"/>
      <c r="L922" s="9"/>
      <c r="M922" s="9"/>
      <c r="N922" s="9"/>
      <c r="O922" s="9"/>
      <c r="P922" s="9"/>
    </row>
    <row r="923" ht="30.0" customHeight="1">
      <c r="A923" s="5"/>
      <c r="B923" s="5"/>
      <c r="C923" s="11"/>
      <c r="D923" s="5"/>
      <c r="E923" s="5"/>
      <c r="F923" s="8"/>
      <c r="G923" s="8"/>
      <c r="H923" s="9"/>
      <c r="I923" s="9"/>
      <c r="J923" s="9"/>
      <c r="K923" s="9"/>
      <c r="L923" s="9"/>
      <c r="M923" s="9"/>
      <c r="N923" s="9"/>
      <c r="O923" s="9"/>
      <c r="P923" s="9"/>
    </row>
    <row r="924" ht="30.0" customHeight="1">
      <c r="A924" s="5"/>
      <c r="B924" s="5"/>
      <c r="C924" s="11"/>
      <c r="D924" s="5"/>
      <c r="E924" s="5"/>
      <c r="F924" s="8"/>
      <c r="G924" s="8"/>
      <c r="H924" s="9"/>
      <c r="I924" s="9"/>
      <c r="J924" s="9"/>
      <c r="K924" s="9"/>
      <c r="L924" s="9"/>
      <c r="M924" s="9"/>
      <c r="N924" s="9"/>
      <c r="O924" s="9"/>
      <c r="P924" s="9"/>
    </row>
    <row r="925" ht="30.0" customHeight="1">
      <c r="A925" s="5"/>
      <c r="B925" s="5"/>
      <c r="C925" s="11"/>
      <c r="D925" s="5"/>
      <c r="E925" s="5"/>
      <c r="F925" s="8"/>
      <c r="G925" s="8"/>
      <c r="H925" s="9"/>
      <c r="I925" s="9"/>
      <c r="J925" s="9"/>
      <c r="K925" s="9"/>
      <c r="L925" s="9"/>
      <c r="M925" s="9"/>
      <c r="N925" s="9"/>
      <c r="O925" s="9"/>
      <c r="P925" s="9"/>
    </row>
    <row r="926" ht="30.0" customHeight="1">
      <c r="A926" s="5"/>
      <c r="B926" s="5"/>
      <c r="C926" s="11"/>
      <c r="D926" s="5"/>
      <c r="E926" s="5"/>
      <c r="F926" s="8"/>
      <c r="G926" s="8"/>
      <c r="H926" s="9"/>
      <c r="I926" s="9"/>
      <c r="J926" s="9"/>
      <c r="K926" s="9"/>
      <c r="L926" s="9"/>
      <c r="M926" s="9"/>
      <c r="N926" s="9"/>
      <c r="O926" s="9"/>
      <c r="P926" s="9"/>
    </row>
    <row r="927" ht="30.0" customHeight="1">
      <c r="A927" s="5"/>
      <c r="B927" s="5"/>
      <c r="C927" s="11"/>
      <c r="D927" s="5"/>
      <c r="E927" s="5"/>
      <c r="F927" s="8"/>
      <c r="G927" s="8"/>
      <c r="H927" s="9"/>
      <c r="I927" s="9"/>
      <c r="J927" s="9"/>
      <c r="K927" s="9"/>
      <c r="L927" s="9"/>
      <c r="M927" s="9"/>
      <c r="N927" s="9"/>
      <c r="O927" s="9"/>
      <c r="P927" s="9"/>
    </row>
    <row r="928" ht="30.0" customHeight="1">
      <c r="A928" s="5"/>
      <c r="B928" s="5"/>
      <c r="C928" s="11"/>
      <c r="D928" s="5"/>
      <c r="E928" s="5"/>
      <c r="F928" s="8"/>
      <c r="G928" s="8"/>
      <c r="H928" s="9"/>
      <c r="I928" s="9"/>
      <c r="J928" s="9"/>
      <c r="K928" s="9"/>
      <c r="L928" s="9"/>
      <c r="M928" s="9"/>
      <c r="N928" s="9"/>
      <c r="O928" s="9"/>
      <c r="P928" s="9"/>
    </row>
    <row r="929" ht="30.0" customHeight="1">
      <c r="A929" s="5"/>
      <c r="B929" s="5"/>
      <c r="C929" s="11"/>
      <c r="D929" s="5"/>
      <c r="E929" s="5"/>
      <c r="F929" s="8"/>
      <c r="G929" s="8"/>
      <c r="H929" s="9"/>
      <c r="I929" s="9"/>
      <c r="J929" s="9"/>
      <c r="K929" s="9"/>
      <c r="L929" s="9"/>
      <c r="M929" s="9"/>
      <c r="N929" s="9"/>
      <c r="O929" s="9"/>
      <c r="P929" s="9"/>
    </row>
    <row r="930" ht="30.0" customHeight="1">
      <c r="A930" s="5"/>
      <c r="B930" s="5"/>
      <c r="C930" s="11"/>
      <c r="D930" s="5"/>
      <c r="E930" s="5"/>
      <c r="F930" s="8"/>
      <c r="G930" s="8"/>
      <c r="H930" s="9"/>
      <c r="I930" s="9"/>
      <c r="J930" s="9"/>
      <c r="K930" s="9"/>
      <c r="L930" s="9"/>
      <c r="M930" s="9"/>
      <c r="N930" s="9"/>
      <c r="O930" s="9"/>
      <c r="P930" s="9"/>
    </row>
    <row r="931" ht="30.0" customHeight="1">
      <c r="A931" s="5"/>
      <c r="B931" s="5"/>
      <c r="C931" s="11"/>
      <c r="D931" s="5"/>
      <c r="E931" s="5"/>
      <c r="F931" s="8"/>
      <c r="G931" s="8"/>
      <c r="H931" s="9"/>
      <c r="I931" s="9"/>
      <c r="J931" s="9"/>
      <c r="K931" s="9"/>
      <c r="L931" s="9"/>
      <c r="M931" s="9"/>
      <c r="N931" s="9"/>
      <c r="O931" s="9"/>
      <c r="P931" s="9"/>
    </row>
    <row r="932" ht="30.0" customHeight="1">
      <c r="A932" s="5"/>
      <c r="B932" s="5"/>
      <c r="C932" s="11"/>
      <c r="D932" s="5"/>
      <c r="E932" s="5"/>
      <c r="F932" s="8"/>
      <c r="G932" s="8"/>
      <c r="H932" s="9"/>
      <c r="I932" s="9"/>
      <c r="J932" s="9"/>
      <c r="K932" s="9"/>
      <c r="L932" s="9"/>
      <c r="M932" s="9"/>
      <c r="N932" s="9"/>
      <c r="O932" s="9"/>
      <c r="P932" s="9"/>
    </row>
    <row r="933" ht="30.0" customHeight="1">
      <c r="A933" s="5"/>
      <c r="B933" s="5"/>
      <c r="C933" s="11"/>
      <c r="D933" s="5"/>
      <c r="E933" s="5"/>
      <c r="F933" s="8"/>
      <c r="G933" s="8"/>
      <c r="H933" s="9"/>
      <c r="I933" s="9"/>
      <c r="J933" s="9"/>
      <c r="K933" s="9"/>
      <c r="L933" s="9"/>
      <c r="M933" s="9"/>
      <c r="N933" s="9"/>
      <c r="O933" s="9"/>
      <c r="P933" s="9"/>
    </row>
    <row r="934" ht="30.0" customHeight="1">
      <c r="A934" s="5"/>
      <c r="B934" s="5"/>
      <c r="C934" s="11"/>
      <c r="D934" s="5"/>
      <c r="E934" s="5"/>
      <c r="F934" s="8"/>
      <c r="G934" s="8"/>
      <c r="H934" s="9"/>
      <c r="I934" s="9"/>
      <c r="J934" s="9"/>
      <c r="K934" s="9"/>
      <c r="L934" s="9"/>
      <c r="M934" s="9"/>
      <c r="N934" s="9"/>
      <c r="O934" s="9"/>
      <c r="P934" s="9"/>
    </row>
    <row r="935" ht="30.0" customHeight="1">
      <c r="A935" s="5"/>
      <c r="B935" s="5"/>
      <c r="C935" s="11"/>
      <c r="D935" s="5"/>
      <c r="E935" s="5"/>
      <c r="F935" s="8"/>
      <c r="G935" s="8"/>
      <c r="H935" s="9"/>
      <c r="I935" s="9"/>
      <c r="J935" s="9"/>
      <c r="K935" s="9"/>
      <c r="L935" s="9"/>
      <c r="M935" s="9"/>
      <c r="N935" s="9"/>
      <c r="O935" s="9"/>
      <c r="P935" s="9"/>
    </row>
    <row r="936" ht="30.0" customHeight="1">
      <c r="A936" s="5"/>
      <c r="B936" s="5"/>
      <c r="C936" s="11"/>
      <c r="D936" s="5"/>
      <c r="E936" s="5"/>
      <c r="F936" s="8"/>
      <c r="G936" s="8"/>
      <c r="H936" s="9"/>
      <c r="I936" s="9"/>
      <c r="J936" s="9"/>
      <c r="K936" s="9"/>
      <c r="L936" s="9"/>
      <c r="M936" s="9"/>
      <c r="N936" s="9"/>
      <c r="O936" s="9"/>
      <c r="P936" s="9"/>
    </row>
    <row r="937" ht="30.0" customHeight="1">
      <c r="A937" s="5"/>
      <c r="B937" s="5"/>
      <c r="C937" s="11"/>
      <c r="D937" s="5"/>
      <c r="E937" s="5"/>
      <c r="F937" s="8"/>
      <c r="G937" s="8"/>
      <c r="H937" s="9"/>
      <c r="I937" s="9"/>
      <c r="J937" s="9"/>
      <c r="K937" s="9"/>
      <c r="L937" s="9"/>
      <c r="M937" s="9"/>
      <c r="N937" s="9"/>
      <c r="O937" s="9"/>
      <c r="P937" s="9"/>
    </row>
    <row r="938" ht="30.0" customHeight="1">
      <c r="A938" s="5"/>
      <c r="B938" s="5"/>
      <c r="C938" s="11"/>
      <c r="D938" s="5"/>
      <c r="E938" s="5"/>
      <c r="F938" s="8"/>
      <c r="G938" s="8"/>
      <c r="H938" s="9"/>
      <c r="I938" s="9"/>
      <c r="J938" s="9"/>
      <c r="K938" s="9"/>
      <c r="L938" s="9"/>
      <c r="M938" s="9"/>
      <c r="N938" s="9"/>
      <c r="O938" s="9"/>
      <c r="P938" s="9"/>
    </row>
    <row r="939" ht="30.0" customHeight="1">
      <c r="A939" s="5"/>
      <c r="B939" s="5"/>
      <c r="C939" s="11"/>
      <c r="D939" s="5"/>
      <c r="E939" s="5"/>
      <c r="F939" s="8"/>
      <c r="G939" s="8"/>
      <c r="H939" s="9"/>
      <c r="I939" s="9"/>
      <c r="J939" s="9"/>
      <c r="K939" s="9"/>
      <c r="L939" s="9"/>
      <c r="M939" s="9"/>
      <c r="N939" s="9"/>
      <c r="O939" s="9"/>
      <c r="P939" s="9"/>
    </row>
    <row r="940" ht="30.0" customHeight="1">
      <c r="A940" s="5"/>
      <c r="B940" s="5"/>
      <c r="C940" s="11"/>
      <c r="D940" s="5"/>
      <c r="E940" s="5"/>
      <c r="F940" s="8"/>
      <c r="G940" s="8"/>
      <c r="H940" s="9"/>
      <c r="I940" s="9"/>
      <c r="J940" s="9"/>
      <c r="K940" s="9"/>
      <c r="L940" s="9"/>
      <c r="M940" s="9"/>
      <c r="N940" s="9"/>
      <c r="O940" s="9"/>
      <c r="P940" s="9"/>
    </row>
    <row r="941" ht="30.0" customHeight="1">
      <c r="A941" s="5"/>
      <c r="B941" s="5"/>
      <c r="C941" s="11"/>
      <c r="D941" s="5"/>
      <c r="E941" s="5"/>
      <c r="F941" s="8"/>
      <c r="G941" s="8"/>
      <c r="H941" s="9"/>
      <c r="I941" s="9"/>
      <c r="J941" s="9"/>
      <c r="K941" s="9"/>
      <c r="L941" s="9"/>
      <c r="M941" s="9"/>
      <c r="N941" s="9"/>
      <c r="O941" s="9"/>
      <c r="P941" s="9"/>
    </row>
    <row r="942" ht="30.0" customHeight="1">
      <c r="A942" s="5"/>
      <c r="B942" s="5"/>
      <c r="C942" s="11"/>
      <c r="D942" s="5"/>
      <c r="E942" s="5"/>
      <c r="F942" s="8"/>
      <c r="G942" s="8"/>
      <c r="H942" s="9"/>
      <c r="I942" s="9"/>
      <c r="J942" s="9"/>
      <c r="K942" s="9"/>
      <c r="L942" s="9"/>
      <c r="M942" s="9"/>
      <c r="N942" s="9"/>
      <c r="O942" s="9"/>
      <c r="P942" s="9"/>
    </row>
    <row r="943" ht="30.0" customHeight="1">
      <c r="A943" s="5"/>
      <c r="B943" s="5"/>
      <c r="C943" s="11"/>
      <c r="D943" s="5"/>
      <c r="E943" s="5"/>
      <c r="F943" s="8"/>
      <c r="G943" s="8"/>
      <c r="H943" s="9"/>
      <c r="I943" s="9"/>
      <c r="J943" s="9"/>
      <c r="K943" s="9"/>
      <c r="L943" s="9"/>
      <c r="M943" s="9"/>
      <c r="N943" s="9"/>
      <c r="O943" s="9"/>
      <c r="P943" s="9"/>
    </row>
    <row r="944" ht="30.0" customHeight="1">
      <c r="A944" s="5"/>
      <c r="B944" s="5"/>
      <c r="C944" s="11"/>
      <c r="D944" s="5"/>
      <c r="E944" s="5"/>
      <c r="F944" s="8"/>
      <c r="G944" s="8"/>
      <c r="H944" s="9"/>
      <c r="I944" s="9"/>
      <c r="J944" s="9"/>
      <c r="K944" s="9"/>
      <c r="L944" s="9"/>
      <c r="M944" s="9"/>
      <c r="N944" s="9"/>
      <c r="O944" s="9"/>
      <c r="P944" s="9"/>
    </row>
    <row r="945" ht="30.0" customHeight="1">
      <c r="A945" s="5"/>
      <c r="B945" s="5"/>
      <c r="C945" s="11"/>
      <c r="D945" s="5"/>
      <c r="E945" s="5"/>
      <c r="F945" s="8"/>
      <c r="G945" s="8"/>
      <c r="H945" s="9"/>
      <c r="I945" s="9"/>
      <c r="J945" s="9"/>
      <c r="K945" s="9"/>
      <c r="L945" s="9"/>
      <c r="M945" s="9"/>
      <c r="N945" s="9"/>
      <c r="O945" s="9"/>
      <c r="P945" s="9"/>
    </row>
    <row r="946" ht="30.0" customHeight="1">
      <c r="A946" s="5"/>
      <c r="B946" s="5"/>
      <c r="C946" s="11"/>
      <c r="D946" s="5"/>
      <c r="E946" s="5"/>
      <c r="F946" s="8"/>
      <c r="G946" s="8"/>
      <c r="H946" s="9"/>
      <c r="I946" s="9"/>
      <c r="J946" s="9"/>
      <c r="K946" s="9"/>
      <c r="L946" s="9"/>
      <c r="M946" s="9"/>
      <c r="N946" s="9"/>
      <c r="O946" s="9"/>
      <c r="P946" s="9"/>
    </row>
    <row r="947" ht="30.0" customHeight="1">
      <c r="A947" s="5"/>
      <c r="B947" s="5"/>
      <c r="C947" s="11"/>
      <c r="D947" s="5"/>
      <c r="E947" s="5"/>
      <c r="F947" s="8"/>
      <c r="G947" s="8"/>
      <c r="H947" s="9"/>
      <c r="I947" s="9"/>
      <c r="J947" s="9"/>
      <c r="K947" s="9"/>
      <c r="L947" s="9"/>
      <c r="M947" s="9"/>
      <c r="N947" s="9"/>
      <c r="O947" s="9"/>
      <c r="P947" s="9"/>
    </row>
    <row r="948" ht="30.0" customHeight="1">
      <c r="A948" s="5"/>
      <c r="B948" s="5"/>
      <c r="C948" s="11"/>
      <c r="D948" s="5"/>
      <c r="E948" s="5"/>
      <c r="F948" s="8"/>
      <c r="G948" s="8"/>
      <c r="H948" s="9"/>
      <c r="I948" s="9"/>
      <c r="J948" s="9"/>
      <c r="K948" s="9"/>
      <c r="L948" s="9"/>
      <c r="M948" s="9"/>
      <c r="N948" s="9"/>
      <c r="O948" s="9"/>
      <c r="P948" s="9"/>
    </row>
    <row r="949" ht="30.0" customHeight="1">
      <c r="A949" s="5"/>
      <c r="B949" s="5"/>
      <c r="C949" s="11"/>
      <c r="D949" s="5"/>
      <c r="E949" s="5"/>
      <c r="F949" s="8"/>
      <c r="G949" s="8"/>
      <c r="H949" s="9"/>
      <c r="I949" s="9"/>
      <c r="J949" s="9"/>
      <c r="K949" s="9"/>
      <c r="L949" s="9"/>
      <c r="M949" s="9"/>
      <c r="N949" s="9"/>
      <c r="O949" s="9"/>
      <c r="P949" s="9"/>
    </row>
    <row r="950" ht="30.0" customHeight="1">
      <c r="A950" s="5"/>
      <c r="B950" s="5"/>
      <c r="C950" s="11"/>
      <c r="D950" s="5"/>
      <c r="E950" s="5"/>
      <c r="F950" s="8"/>
      <c r="G950" s="8"/>
      <c r="H950" s="9"/>
      <c r="I950" s="9"/>
      <c r="J950" s="9"/>
      <c r="K950" s="9"/>
      <c r="L950" s="9"/>
      <c r="M950" s="9"/>
      <c r="N950" s="9"/>
      <c r="O950" s="9"/>
      <c r="P950" s="9"/>
    </row>
    <row r="951" ht="30.0" customHeight="1">
      <c r="A951" s="5"/>
      <c r="B951" s="5"/>
      <c r="C951" s="11"/>
      <c r="D951" s="5"/>
      <c r="E951" s="5"/>
      <c r="F951" s="8"/>
      <c r="G951" s="8"/>
      <c r="H951" s="9"/>
      <c r="I951" s="9"/>
      <c r="J951" s="9"/>
      <c r="K951" s="9"/>
      <c r="L951" s="9"/>
      <c r="M951" s="9"/>
      <c r="N951" s="9"/>
      <c r="O951" s="9"/>
      <c r="P951" s="9"/>
    </row>
    <row r="952" ht="30.0" customHeight="1">
      <c r="A952" s="5"/>
      <c r="B952" s="5"/>
      <c r="C952" s="11"/>
      <c r="D952" s="5"/>
      <c r="E952" s="5"/>
      <c r="F952" s="8"/>
      <c r="G952" s="8"/>
      <c r="H952" s="9"/>
      <c r="I952" s="9"/>
      <c r="J952" s="9"/>
      <c r="K952" s="9"/>
      <c r="L952" s="9"/>
      <c r="M952" s="9"/>
      <c r="N952" s="9"/>
      <c r="O952" s="9"/>
      <c r="P952" s="9"/>
    </row>
    <row r="953" ht="30.0" customHeight="1">
      <c r="A953" s="5"/>
      <c r="B953" s="5"/>
      <c r="C953" s="11"/>
      <c r="D953" s="5"/>
      <c r="E953" s="5"/>
      <c r="F953" s="8"/>
      <c r="G953" s="8"/>
      <c r="H953" s="9"/>
      <c r="I953" s="9"/>
      <c r="J953" s="9"/>
      <c r="K953" s="9"/>
      <c r="L953" s="9"/>
      <c r="M953" s="9"/>
      <c r="N953" s="9"/>
      <c r="O953" s="9"/>
      <c r="P953" s="9"/>
    </row>
    <row r="954" ht="30.0" customHeight="1">
      <c r="A954" s="5"/>
      <c r="B954" s="5"/>
      <c r="C954" s="11"/>
      <c r="D954" s="5"/>
      <c r="E954" s="5"/>
      <c r="F954" s="8"/>
      <c r="G954" s="8"/>
      <c r="H954" s="9"/>
      <c r="I954" s="9"/>
      <c r="J954" s="9"/>
      <c r="K954" s="9"/>
      <c r="L954" s="9"/>
      <c r="M954" s="9"/>
      <c r="N954" s="9"/>
      <c r="O954" s="9"/>
      <c r="P954" s="9"/>
    </row>
    <row r="955" ht="30.0" customHeight="1">
      <c r="A955" s="5"/>
      <c r="B955" s="5"/>
      <c r="C955" s="11"/>
      <c r="D955" s="5"/>
      <c r="E955" s="5"/>
      <c r="F955" s="8"/>
      <c r="G955" s="8"/>
      <c r="H955" s="9"/>
      <c r="I955" s="9"/>
      <c r="J955" s="9"/>
      <c r="K955" s="9"/>
      <c r="L955" s="9"/>
      <c r="M955" s="9"/>
      <c r="N955" s="9"/>
      <c r="O955" s="9"/>
      <c r="P955" s="9"/>
    </row>
    <row r="956" ht="30.0" customHeight="1">
      <c r="A956" s="5"/>
      <c r="B956" s="5"/>
      <c r="C956" s="11"/>
      <c r="D956" s="5"/>
      <c r="E956" s="5"/>
      <c r="F956" s="8"/>
      <c r="G956" s="8"/>
      <c r="H956" s="9"/>
      <c r="I956" s="9"/>
      <c r="J956" s="9"/>
      <c r="K956" s="9"/>
      <c r="L956" s="9"/>
      <c r="M956" s="9"/>
      <c r="N956" s="9"/>
      <c r="O956" s="9"/>
      <c r="P956" s="9"/>
    </row>
    <row r="957" ht="30.0" customHeight="1">
      <c r="A957" s="5"/>
      <c r="B957" s="5"/>
      <c r="C957" s="11"/>
      <c r="D957" s="5"/>
      <c r="E957" s="5"/>
      <c r="F957" s="8"/>
      <c r="G957" s="8"/>
      <c r="H957" s="9"/>
      <c r="I957" s="9"/>
      <c r="J957" s="9"/>
      <c r="K957" s="9"/>
      <c r="L957" s="9"/>
      <c r="M957" s="9"/>
      <c r="N957" s="9"/>
      <c r="O957" s="9"/>
      <c r="P957" s="9"/>
    </row>
    <row r="958" ht="30.0" customHeight="1">
      <c r="A958" s="5"/>
      <c r="B958" s="5"/>
      <c r="C958" s="11"/>
      <c r="D958" s="5"/>
      <c r="E958" s="5"/>
      <c r="F958" s="8"/>
      <c r="G958" s="8"/>
      <c r="H958" s="9"/>
      <c r="I958" s="9"/>
      <c r="J958" s="9"/>
      <c r="K958" s="9"/>
      <c r="L958" s="9"/>
      <c r="M958" s="9"/>
      <c r="N958" s="9"/>
      <c r="O958" s="9"/>
      <c r="P958" s="9"/>
    </row>
    <row r="959" ht="30.0" customHeight="1">
      <c r="A959" s="5"/>
      <c r="B959" s="5"/>
      <c r="C959" s="11"/>
      <c r="D959" s="5"/>
      <c r="E959" s="5"/>
      <c r="F959" s="8"/>
      <c r="G959" s="8"/>
      <c r="H959" s="9"/>
      <c r="I959" s="9"/>
      <c r="J959" s="9"/>
      <c r="K959" s="9"/>
      <c r="L959" s="9"/>
      <c r="M959" s="9"/>
      <c r="N959" s="9"/>
      <c r="O959" s="9"/>
      <c r="P959" s="9"/>
    </row>
    <row r="960" ht="30.0" customHeight="1">
      <c r="A960" s="5"/>
      <c r="B960" s="5"/>
      <c r="C960" s="11"/>
      <c r="D960" s="5"/>
      <c r="E960" s="5"/>
      <c r="F960" s="8"/>
      <c r="G960" s="8"/>
      <c r="H960" s="9"/>
      <c r="I960" s="9"/>
      <c r="J960" s="9"/>
      <c r="K960" s="9"/>
      <c r="L960" s="9"/>
      <c r="M960" s="9"/>
      <c r="N960" s="9"/>
      <c r="O960" s="9"/>
      <c r="P960" s="9"/>
    </row>
    <row r="961" ht="30.0" customHeight="1">
      <c r="A961" s="5"/>
      <c r="B961" s="5"/>
      <c r="C961" s="11"/>
      <c r="D961" s="5"/>
      <c r="E961" s="5"/>
      <c r="F961" s="8"/>
      <c r="G961" s="8"/>
      <c r="H961" s="9"/>
      <c r="I961" s="9"/>
      <c r="J961" s="9"/>
      <c r="K961" s="9"/>
      <c r="L961" s="9"/>
      <c r="M961" s="9"/>
      <c r="N961" s="9"/>
      <c r="O961" s="9"/>
      <c r="P961" s="9"/>
    </row>
    <row r="962" ht="30.0" customHeight="1">
      <c r="A962" s="5"/>
      <c r="B962" s="5"/>
      <c r="C962" s="11"/>
      <c r="D962" s="5"/>
      <c r="E962" s="5"/>
      <c r="F962" s="8"/>
      <c r="G962" s="8"/>
      <c r="H962" s="9"/>
      <c r="I962" s="9"/>
      <c r="J962" s="9"/>
      <c r="K962" s="9"/>
      <c r="L962" s="9"/>
      <c r="M962" s="9"/>
      <c r="N962" s="9"/>
      <c r="O962" s="9"/>
      <c r="P962" s="9"/>
    </row>
    <row r="963" ht="30.0" customHeight="1">
      <c r="A963" s="5"/>
      <c r="B963" s="5"/>
      <c r="C963" s="11"/>
      <c r="D963" s="5"/>
      <c r="E963" s="5"/>
      <c r="F963" s="8"/>
      <c r="G963" s="8"/>
      <c r="H963" s="9"/>
      <c r="I963" s="9"/>
      <c r="J963" s="9"/>
      <c r="K963" s="9"/>
      <c r="L963" s="9"/>
      <c r="M963" s="9"/>
      <c r="N963" s="9"/>
      <c r="O963" s="9"/>
      <c r="P963" s="9"/>
    </row>
    <row r="964" ht="30.0" customHeight="1">
      <c r="A964" s="5"/>
      <c r="B964" s="5"/>
      <c r="C964" s="11"/>
      <c r="D964" s="5"/>
      <c r="E964" s="5"/>
      <c r="F964" s="8"/>
      <c r="G964" s="8"/>
      <c r="H964" s="9"/>
      <c r="I964" s="9"/>
      <c r="J964" s="9"/>
      <c r="K964" s="9"/>
      <c r="L964" s="9"/>
      <c r="M964" s="9"/>
      <c r="N964" s="9"/>
      <c r="O964" s="9"/>
      <c r="P964" s="9"/>
    </row>
    <row r="965" ht="30.0" customHeight="1">
      <c r="A965" s="5"/>
      <c r="B965" s="5"/>
      <c r="C965" s="11"/>
      <c r="D965" s="5"/>
      <c r="E965" s="5"/>
      <c r="F965" s="8"/>
      <c r="G965" s="8"/>
      <c r="H965" s="9"/>
      <c r="I965" s="9"/>
      <c r="J965" s="9"/>
      <c r="K965" s="9"/>
      <c r="L965" s="9"/>
      <c r="M965" s="9"/>
      <c r="N965" s="9"/>
      <c r="O965" s="9"/>
      <c r="P965" s="9"/>
    </row>
    <row r="966" ht="30.0" customHeight="1">
      <c r="A966" s="5"/>
      <c r="B966" s="5"/>
      <c r="C966" s="11"/>
      <c r="D966" s="5"/>
      <c r="E966" s="5"/>
      <c r="F966" s="8"/>
      <c r="G966" s="8"/>
      <c r="H966" s="9"/>
      <c r="I966" s="9"/>
      <c r="J966" s="9"/>
      <c r="K966" s="9"/>
      <c r="L966" s="9"/>
      <c r="M966" s="9"/>
      <c r="N966" s="9"/>
      <c r="O966" s="9"/>
      <c r="P966" s="9"/>
    </row>
    <row r="967" ht="30.0" customHeight="1">
      <c r="A967" s="5"/>
      <c r="B967" s="5"/>
      <c r="C967" s="11"/>
      <c r="D967" s="5"/>
      <c r="E967" s="5"/>
      <c r="F967" s="8"/>
      <c r="G967" s="8"/>
      <c r="H967" s="9"/>
      <c r="I967" s="9"/>
      <c r="J967" s="9"/>
      <c r="K967" s="9"/>
      <c r="L967" s="9"/>
      <c r="M967" s="9"/>
      <c r="N967" s="9"/>
      <c r="O967" s="9"/>
      <c r="P967" s="9"/>
    </row>
    <row r="968" ht="30.0" customHeight="1">
      <c r="A968" s="5"/>
      <c r="B968" s="5"/>
      <c r="C968" s="11"/>
      <c r="D968" s="5"/>
      <c r="E968" s="5"/>
      <c r="F968" s="8"/>
      <c r="G968" s="8"/>
      <c r="H968" s="9"/>
      <c r="I968" s="9"/>
      <c r="J968" s="9"/>
      <c r="K968" s="9"/>
      <c r="L968" s="9"/>
      <c r="M968" s="9"/>
      <c r="N968" s="9"/>
      <c r="O968" s="9"/>
      <c r="P968" s="9"/>
    </row>
    <row r="969" ht="30.0" customHeight="1">
      <c r="A969" s="5"/>
      <c r="B969" s="5"/>
      <c r="C969" s="11"/>
      <c r="D969" s="5"/>
      <c r="E969" s="5"/>
      <c r="F969" s="8"/>
      <c r="G969" s="8"/>
      <c r="H969" s="9"/>
      <c r="I969" s="9"/>
      <c r="J969" s="9"/>
      <c r="K969" s="9"/>
      <c r="L969" s="9"/>
      <c r="M969" s="9"/>
      <c r="N969" s="9"/>
      <c r="O969" s="9"/>
      <c r="P969" s="9"/>
    </row>
    <row r="970" ht="30.0" customHeight="1">
      <c r="A970" s="5"/>
      <c r="B970" s="5"/>
      <c r="C970" s="11"/>
      <c r="D970" s="5"/>
      <c r="E970" s="5"/>
      <c r="F970" s="8"/>
      <c r="G970" s="8"/>
      <c r="H970" s="9"/>
      <c r="I970" s="9"/>
      <c r="J970" s="9"/>
      <c r="K970" s="9"/>
      <c r="L970" s="9"/>
      <c r="M970" s="9"/>
      <c r="N970" s="9"/>
      <c r="O970" s="9"/>
      <c r="P970" s="9"/>
    </row>
    <row r="971" ht="30.0" customHeight="1">
      <c r="A971" s="5"/>
      <c r="B971" s="5"/>
      <c r="C971" s="11"/>
      <c r="D971" s="5"/>
      <c r="E971" s="5"/>
      <c r="F971" s="8"/>
      <c r="G971" s="8"/>
      <c r="H971" s="9"/>
      <c r="I971" s="9"/>
      <c r="J971" s="9"/>
      <c r="K971" s="9"/>
      <c r="L971" s="9"/>
      <c r="M971" s="9"/>
      <c r="N971" s="9"/>
      <c r="O971" s="9"/>
      <c r="P971" s="9"/>
    </row>
    <row r="972" ht="30.0" customHeight="1">
      <c r="A972" s="5"/>
      <c r="B972" s="5"/>
      <c r="C972" s="11"/>
      <c r="D972" s="5"/>
      <c r="E972" s="5"/>
      <c r="F972" s="8"/>
      <c r="G972" s="8"/>
      <c r="H972" s="9"/>
      <c r="I972" s="9"/>
      <c r="J972" s="9"/>
      <c r="K972" s="9"/>
      <c r="L972" s="9"/>
      <c r="M972" s="9"/>
      <c r="N972" s="9"/>
      <c r="O972" s="9"/>
      <c r="P972" s="9"/>
    </row>
    <row r="973" ht="30.0" customHeight="1">
      <c r="A973" s="5"/>
      <c r="B973" s="5"/>
      <c r="C973" s="11"/>
      <c r="D973" s="5"/>
      <c r="E973" s="5"/>
      <c r="F973" s="8"/>
      <c r="G973" s="8"/>
      <c r="H973" s="9"/>
      <c r="I973" s="9"/>
      <c r="J973" s="9"/>
      <c r="K973" s="9"/>
      <c r="L973" s="9"/>
      <c r="M973" s="9"/>
      <c r="N973" s="9"/>
      <c r="O973" s="9"/>
      <c r="P973" s="9"/>
    </row>
    <row r="974" ht="30.0" customHeight="1">
      <c r="A974" s="5"/>
      <c r="B974" s="5"/>
      <c r="C974" s="11"/>
      <c r="D974" s="5"/>
      <c r="E974" s="5"/>
      <c r="F974" s="8"/>
      <c r="G974" s="8"/>
      <c r="H974" s="9"/>
      <c r="I974" s="9"/>
      <c r="J974" s="9"/>
      <c r="K974" s="9"/>
      <c r="L974" s="9"/>
      <c r="M974" s="9"/>
      <c r="N974" s="9"/>
      <c r="O974" s="9"/>
      <c r="P974" s="9"/>
    </row>
    <row r="975" ht="30.0" customHeight="1">
      <c r="A975" s="5"/>
      <c r="B975" s="5"/>
      <c r="C975" s="11"/>
      <c r="D975" s="5"/>
      <c r="E975" s="5"/>
      <c r="F975" s="8"/>
      <c r="G975" s="8"/>
      <c r="H975" s="9"/>
      <c r="I975" s="9"/>
      <c r="J975" s="9"/>
      <c r="K975" s="9"/>
      <c r="L975" s="9"/>
      <c r="M975" s="9"/>
      <c r="N975" s="9"/>
      <c r="O975" s="9"/>
      <c r="P975" s="9"/>
    </row>
    <row r="976" ht="30.0" customHeight="1">
      <c r="A976" s="5"/>
      <c r="B976" s="5"/>
      <c r="C976" s="11"/>
      <c r="D976" s="5"/>
      <c r="E976" s="5"/>
      <c r="F976" s="8"/>
      <c r="G976" s="8"/>
      <c r="H976" s="9"/>
      <c r="I976" s="9"/>
      <c r="J976" s="9"/>
      <c r="K976" s="9"/>
      <c r="L976" s="9"/>
      <c r="M976" s="9"/>
      <c r="N976" s="9"/>
      <c r="O976" s="9"/>
      <c r="P976" s="9"/>
    </row>
    <row r="977" ht="30.0" customHeight="1">
      <c r="A977" s="5"/>
      <c r="B977" s="5"/>
      <c r="C977" s="11"/>
      <c r="D977" s="5"/>
      <c r="E977" s="5"/>
      <c r="F977" s="8"/>
      <c r="G977" s="8"/>
      <c r="H977" s="9"/>
      <c r="I977" s="9"/>
      <c r="J977" s="9"/>
      <c r="K977" s="9"/>
      <c r="L977" s="9"/>
      <c r="M977" s="9"/>
      <c r="N977" s="9"/>
      <c r="O977" s="9"/>
      <c r="P977" s="9"/>
    </row>
    <row r="978" ht="30.0" customHeight="1">
      <c r="A978" s="5"/>
      <c r="B978" s="5"/>
      <c r="C978" s="11"/>
      <c r="D978" s="5"/>
      <c r="E978" s="5"/>
      <c r="F978" s="8"/>
      <c r="G978" s="8"/>
      <c r="H978" s="9"/>
      <c r="I978" s="9"/>
      <c r="J978" s="9"/>
      <c r="K978" s="9"/>
      <c r="L978" s="9"/>
      <c r="M978" s="9"/>
      <c r="N978" s="9"/>
      <c r="O978" s="9"/>
      <c r="P978" s="9"/>
    </row>
    <row r="979" ht="30.0" customHeight="1">
      <c r="A979" s="5"/>
      <c r="B979" s="5"/>
      <c r="C979" s="11"/>
      <c r="D979" s="5"/>
      <c r="E979" s="5"/>
      <c r="F979" s="8"/>
      <c r="G979" s="8"/>
      <c r="H979" s="9"/>
      <c r="I979" s="9"/>
      <c r="J979" s="9"/>
      <c r="K979" s="9"/>
      <c r="L979" s="9"/>
      <c r="M979" s="9"/>
      <c r="N979" s="9"/>
      <c r="O979" s="9"/>
      <c r="P979" s="9"/>
    </row>
    <row r="980" ht="30.0" customHeight="1">
      <c r="A980" s="5"/>
      <c r="B980" s="5"/>
      <c r="C980" s="11"/>
      <c r="D980" s="5"/>
      <c r="E980" s="5"/>
      <c r="F980" s="8"/>
      <c r="G980" s="8"/>
      <c r="H980" s="9"/>
      <c r="I980" s="9"/>
      <c r="J980" s="9"/>
      <c r="K980" s="9"/>
      <c r="L980" s="9"/>
      <c r="M980" s="9"/>
      <c r="N980" s="9"/>
      <c r="O980" s="9"/>
      <c r="P980" s="9"/>
    </row>
    <row r="981" ht="30.0" customHeight="1">
      <c r="A981" s="5"/>
      <c r="B981" s="5"/>
      <c r="C981" s="11"/>
      <c r="D981" s="5"/>
      <c r="E981" s="5"/>
      <c r="F981" s="8"/>
      <c r="G981" s="8"/>
      <c r="H981" s="9"/>
      <c r="I981" s="9"/>
      <c r="J981" s="9"/>
      <c r="K981" s="9"/>
      <c r="L981" s="9"/>
      <c r="M981" s="9"/>
      <c r="N981" s="9"/>
      <c r="O981" s="9"/>
      <c r="P981" s="9"/>
    </row>
    <row r="982" ht="30.0" customHeight="1">
      <c r="A982" s="5"/>
      <c r="B982" s="5"/>
      <c r="C982" s="11"/>
      <c r="D982" s="5"/>
      <c r="E982" s="5"/>
      <c r="F982" s="8"/>
      <c r="G982" s="8"/>
      <c r="H982" s="9"/>
      <c r="I982" s="9"/>
      <c r="J982" s="9"/>
      <c r="K982" s="9"/>
      <c r="L982" s="9"/>
      <c r="M982" s="9"/>
      <c r="N982" s="9"/>
      <c r="O982" s="9"/>
      <c r="P982" s="9"/>
    </row>
    <row r="983" ht="30.0" customHeight="1">
      <c r="A983" s="5"/>
      <c r="B983" s="5"/>
      <c r="C983" s="11"/>
      <c r="D983" s="5"/>
      <c r="E983" s="5"/>
      <c r="F983" s="8"/>
      <c r="G983" s="8"/>
      <c r="H983" s="9"/>
      <c r="I983" s="9"/>
      <c r="J983" s="9"/>
      <c r="K983" s="9"/>
      <c r="L983" s="9"/>
      <c r="M983" s="9"/>
      <c r="N983" s="9"/>
      <c r="O983" s="9"/>
      <c r="P983" s="9"/>
    </row>
    <row r="984" ht="30.0" customHeight="1">
      <c r="A984" s="5"/>
      <c r="B984" s="5"/>
      <c r="C984" s="11"/>
      <c r="D984" s="5"/>
      <c r="E984" s="5"/>
      <c r="F984" s="8"/>
      <c r="G984" s="8"/>
      <c r="H984" s="9"/>
      <c r="I984" s="9"/>
      <c r="J984" s="9"/>
      <c r="K984" s="9"/>
      <c r="L984" s="9"/>
      <c r="M984" s="9"/>
      <c r="N984" s="9"/>
      <c r="O984" s="9"/>
      <c r="P984" s="9"/>
    </row>
    <row r="985" ht="30.0" customHeight="1">
      <c r="A985" s="5"/>
      <c r="B985" s="5"/>
      <c r="C985" s="11"/>
      <c r="D985" s="5"/>
      <c r="E985" s="5"/>
      <c r="F985" s="8"/>
      <c r="G985" s="8"/>
      <c r="H985" s="9"/>
      <c r="I985" s="9"/>
      <c r="J985" s="9"/>
      <c r="K985" s="9"/>
      <c r="L985" s="9"/>
      <c r="M985" s="9"/>
      <c r="N985" s="9"/>
      <c r="O985" s="9"/>
      <c r="P985" s="9"/>
    </row>
    <row r="986" ht="30.0" customHeight="1">
      <c r="A986" s="5"/>
      <c r="B986" s="5"/>
      <c r="C986" s="11"/>
      <c r="D986" s="5"/>
      <c r="E986" s="5"/>
      <c r="F986" s="8"/>
      <c r="G986" s="8"/>
      <c r="H986" s="9"/>
      <c r="I986" s="9"/>
      <c r="J986" s="9"/>
      <c r="K986" s="9"/>
      <c r="L986" s="9"/>
      <c r="M986" s="9"/>
      <c r="N986" s="9"/>
      <c r="O986" s="9"/>
      <c r="P986" s="9"/>
    </row>
    <row r="987" ht="30.0" customHeight="1">
      <c r="A987" s="5"/>
      <c r="B987" s="5"/>
      <c r="C987" s="11"/>
      <c r="D987" s="5"/>
      <c r="E987" s="5"/>
      <c r="F987" s="8"/>
      <c r="G987" s="8"/>
      <c r="H987" s="9"/>
      <c r="I987" s="9"/>
      <c r="J987" s="9"/>
      <c r="K987" s="9"/>
      <c r="L987" s="9"/>
      <c r="M987" s="9"/>
      <c r="N987" s="9"/>
      <c r="O987" s="9"/>
      <c r="P987" s="9"/>
    </row>
    <row r="988" ht="30.0" customHeight="1">
      <c r="A988" s="5"/>
      <c r="B988" s="5"/>
      <c r="C988" s="11"/>
      <c r="D988" s="5"/>
      <c r="E988" s="5"/>
      <c r="F988" s="8"/>
      <c r="G988" s="8"/>
      <c r="H988" s="9"/>
      <c r="I988" s="9"/>
      <c r="J988" s="9"/>
      <c r="K988" s="9"/>
      <c r="L988" s="9"/>
      <c r="M988" s="9"/>
      <c r="N988" s="9"/>
      <c r="O988" s="9"/>
      <c r="P988" s="9"/>
    </row>
    <row r="989" ht="30.0" customHeight="1">
      <c r="A989" s="5"/>
      <c r="B989" s="5"/>
      <c r="C989" s="11"/>
      <c r="D989" s="5"/>
      <c r="E989" s="5"/>
      <c r="F989" s="8"/>
      <c r="G989" s="8"/>
      <c r="H989" s="9"/>
      <c r="I989" s="9"/>
      <c r="J989" s="9"/>
      <c r="K989" s="9"/>
      <c r="L989" s="9"/>
      <c r="M989" s="9"/>
      <c r="N989" s="9"/>
      <c r="O989" s="9"/>
      <c r="P989" s="9"/>
    </row>
    <row r="990" ht="30.0" customHeight="1">
      <c r="A990" s="5"/>
      <c r="B990" s="5"/>
      <c r="C990" s="11"/>
      <c r="D990" s="5"/>
      <c r="E990" s="5"/>
      <c r="F990" s="8"/>
      <c r="G990" s="8"/>
      <c r="H990" s="9"/>
      <c r="I990" s="9"/>
      <c r="J990" s="9"/>
      <c r="K990" s="9"/>
      <c r="L990" s="9"/>
      <c r="M990" s="9"/>
      <c r="N990" s="9"/>
      <c r="O990" s="9"/>
      <c r="P990" s="9"/>
    </row>
    <row r="991" ht="30.0" customHeight="1">
      <c r="A991" s="5"/>
      <c r="B991" s="5"/>
      <c r="C991" s="11"/>
      <c r="D991" s="5"/>
      <c r="E991" s="5"/>
      <c r="F991" s="8"/>
      <c r="G991" s="8"/>
      <c r="H991" s="9"/>
      <c r="I991" s="9"/>
      <c r="J991" s="9"/>
      <c r="K991" s="9"/>
      <c r="L991" s="9"/>
      <c r="M991" s="9"/>
      <c r="N991" s="9"/>
      <c r="O991" s="9"/>
      <c r="P991" s="9"/>
    </row>
    <row r="992" ht="30.0" customHeight="1">
      <c r="A992" s="5"/>
      <c r="B992" s="5"/>
      <c r="C992" s="11"/>
      <c r="D992" s="5"/>
      <c r="E992" s="5"/>
      <c r="F992" s="8"/>
      <c r="G992" s="8"/>
      <c r="H992" s="9"/>
      <c r="I992" s="9"/>
      <c r="J992" s="9"/>
      <c r="K992" s="9"/>
      <c r="L992" s="9"/>
      <c r="M992" s="9"/>
      <c r="N992" s="9"/>
      <c r="O992" s="9"/>
      <c r="P992" s="9"/>
    </row>
    <row r="993" ht="30.0" customHeight="1">
      <c r="A993" s="5"/>
      <c r="B993" s="5"/>
      <c r="C993" s="11"/>
      <c r="D993" s="5"/>
      <c r="E993" s="5"/>
      <c r="F993" s="8"/>
      <c r="G993" s="8"/>
      <c r="H993" s="9"/>
      <c r="I993" s="9"/>
      <c r="J993" s="9"/>
      <c r="K993" s="9"/>
      <c r="L993" s="9"/>
      <c r="M993" s="9"/>
      <c r="N993" s="9"/>
      <c r="O993" s="9"/>
      <c r="P993" s="9"/>
    </row>
    <row r="994" ht="30.0" customHeight="1">
      <c r="A994" s="5"/>
      <c r="B994" s="5"/>
      <c r="C994" s="11"/>
      <c r="D994" s="5"/>
      <c r="E994" s="5"/>
      <c r="F994" s="8"/>
      <c r="G994" s="8"/>
      <c r="H994" s="9"/>
      <c r="I994" s="9"/>
      <c r="J994" s="9"/>
      <c r="K994" s="9"/>
      <c r="L994" s="9"/>
      <c r="M994" s="9"/>
      <c r="N994" s="9"/>
      <c r="O994" s="9"/>
      <c r="P994" s="9"/>
    </row>
    <row r="995" ht="30.0" customHeight="1">
      <c r="A995" s="5"/>
      <c r="B995" s="5"/>
      <c r="C995" s="11"/>
      <c r="D995" s="5"/>
      <c r="E995" s="5"/>
      <c r="F995" s="8"/>
      <c r="G995" s="8"/>
      <c r="H995" s="9"/>
      <c r="I995" s="9"/>
      <c r="J995" s="9"/>
      <c r="K995" s="9"/>
      <c r="L995" s="9"/>
      <c r="M995" s="9"/>
      <c r="N995" s="9"/>
      <c r="O995" s="9"/>
      <c r="P995" s="9"/>
    </row>
    <row r="996" ht="30.0" customHeight="1">
      <c r="A996" s="5"/>
      <c r="B996" s="5"/>
      <c r="C996" s="11"/>
      <c r="D996" s="5"/>
      <c r="E996" s="5"/>
      <c r="F996" s="8"/>
      <c r="G996" s="8"/>
      <c r="H996" s="9"/>
      <c r="I996" s="9"/>
      <c r="J996" s="9"/>
      <c r="K996" s="9"/>
      <c r="L996" s="9"/>
      <c r="M996" s="9"/>
      <c r="N996" s="9"/>
      <c r="O996" s="9"/>
      <c r="P996" s="9"/>
    </row>
    <row r="997" ht="30.0" customHeight="1">
      <c r="A997" s="5"/>
      <c r="B997" s="5"/>
      <c r="C997" s="11"/>
      <c r="D997" s="5"/>
      <c r="E997" s="5"/>
      <c r="F997" s="8"/>
      <c r="G997" s="8"/>
      <c r="H997" s="9"/>
      <c r="I997" s="9"/>
      <c r="J997" s="9"/>
      <c r="K997" s="9"/>
      <c r="L997" s="9"/>
      <c r="M997" s="9"/>
      <c r="N997" s="9"/>
      <c r="O997" s="9"/>
      <c r="P997" s="9"/>
    </row>
    <row r="998" ht="30.0" customHeight="1">
      <c r="A998" s="5"/>
      <c r="B998" s="5"/>
      <c r="C998" s="11"/>
      <c r="D998" s="5"/>
      <c r="E998" s="5"/>
      <c r="F998" s="8"/>
      <c r="G998" s="8"/>
      <c r="H998" s="9"/>
      <c r="I998" s="9"/>
      <c r="J998" s="9"/>
      <c r="K998" s="9"/>
      <c r="L998" s="9"/>
      <c r="M998" s="9"/>
      <c r="N998" s="9"/>
      <c r="O998" s="9"/>
      <c r="P998" s="9"/>
    </row>
    <row r="999" ht="30.0" customHeight="1">
      <c r="A999" s="5"/>
      <c r="B999" s="5"/>
      <c r="C999" s="11"/>
      <c r="D999" s="5"/>
      <c r="E999" s="5"/>
      <c r="F999" s="8"/>
      <c r="G999" s="8"/>
      <c r="H999" s="9"/>
      <c r="I999" s="9"/>
      <c r="J999" s="9"/>
      <c r="K999" s="9"/>
      <c r="L999" s="9"/>
      <c r="M999" s="9"/>
      <c r="N999" s="9"/>
      <c r="O999" s="9"/>
      <c r="P999" s="9"/>
    </row>
    <row r="1000" ht="30.0" customHeight="1">
      <c r="A1000" s="5"/>
      <c r="B1000" s="5"/>
      <c r="C1000" s="11"/>
      <c r="D1000" s="5"/>
      <c r="E1000" s="5"/>
      <c r="F1000" s="8"/>
      <c r="G1000" s="8"/>
      <c r="H1000" s="9"/>
      <c r="I1000" s="9"/>
      <c r="J1000" s="9"/>
      <c r="K1000" s="9"/>
      <c r="L1000" s="9"/>
      <c r="M1000" s="9"/>
      <c r="N1000" s="9"/>
      <c r="O1000" s="9"/>
      <c r="P1000" s="9"/>
    </row>
    <row r="1001" ht="30.0" customHeight="1">
      <c r="A1001" s="5"/>
      <c r="B1001" s="5"/>
      <c r="C1001" s="11"/>
      <c r="D1001" s="5"/>
      <c r="E1001" s="5"/>
      <c r="F1001" s="8"/>
      <c r="G1001" s="8"/>
      <c r="H1001" s="9"/>
      <c r="I1001" s="9"/>
      <c r="J1001" s="9"/>
      <c r="K1001" s="9"/>
      <c r="L1001" s="9"/>
      <c r="M1001" s="9"/>
      <c r="N1001" s="9"/>
      <c r="O1001" s="9"/>
      <c r="P1001" s="9"/>
    </row>
    <row r="1002" ht="30.0" customHeight="1">
      <c r="A1002" s="5"/>
      <c r="B1002" s="5"/>
      <c r="C1002" s="11"/>
      <c r="D1002" s="5"/>
      <c r="E1002" s="5"/>
      <c r="F1002" s="8"/>
      <c r="G1002" s="8"/>
      <c r="H1002" s="9"/>
      <c r="I1002" s="9"/>
      <c r="J1002" s="9"/>
      <c r="K1002" s="9"/>
      <c r="L1002" s="9"/>
      <c r="M1002" s="9"/>
      <c r="N1002" s="9"/>
      <c r="O1002" s="9"/>
      <c r="P1002" s="9"/>
    </row>
    <row r="1003" ht="30.0" customHeight="1">
      <c r="A1003" s="5"/>
      <c r="B1003" s="5"/>
      <c r="C1003" s="11"/>
      <c r="D1003" s="5"/>
      <c r="E1003" s="5"/>
      <c r="F1003" s="8"/>
      <c r="G1003" s="8"/>
      <c r="H1003" s="9"/>
      <c r="I1003" s="9"/>
      <c r="J1003" s="9"/>
      <c r="K1003" s="9"/>
      <c r="L1003" s="9"/>
      <c r="M1003" s="9"/>
      <c r="N1003" s="9"/>
      <c r="O1003" s="9"/>
      <c r="P1003" s="9"/>
    </row>
    <row r="1004" ht="30.0" customHeight="1">
      <c r="A1004" s="5"/>
      <c r="B1004" s="5"/>
      <c r="C1004" s="11"/>
      <c r="D1004" s="5"/>
      <c r="E1004" s="5"/>
      <c r="F1004" s="8"/>
      <c r="G1004" s="8"/>
      <c r="H1004" s="9"/>
      <c r="I1004" s="9"/>
      <c r="J1004" s="9"/>
      <c r="K1004" s="9"/>
      <c r="L1004" s="9"/>
      <c r="M1004" s="9"/>
      <c r="N1004" s="9"/>
      <c r="O1004" s="9"/>
      <c r="P1004" s="9"/>
    </row>
    <row r="1005" ht="30.0" customHeight="1">
      <c r="A1005" s="5"/>
      <c r="B1005" s="5"/>
      <c r="C1005" s="11"/>
      <c r="D1005" s="5"/>
      <c r="E1005" s="5"/>
      <c r="F1005" s="8"/>
      <c r="G1005" s="8"/>
      <c r="H1005" s="9"/>
      <c r="I1005" s="9"/>
      <c r="J1005" s="9"/>
      <c r="K1005" s="9"/>
      <c r="L1005" s="9"/>
      <c r="M1005" s="9"/>
      <c r="N1005" s="9"/>
      <c r="O1005" s="9"/>
      <c r="P1005" s="9"/>
    </row>
    <row r="1006" ht="30.0" customHeight="1">
      <c r="A1006" s="5"/>
      <c r="B1006" s="5"/>
      <c r="C1006" s="11"/>
      <c r="D1006" s="5"/>
      <c r="E1006" s="5"/>
      <c r="F1006" s="8"/>
      <c r="G1006" s="8"/>
      <c r="H1006" s="9"/>
      <c r="I1006" s="9"/>
      <c r="J1006" s="9"/>
      <c r="K1006" s="9"/>
      <c r="L1006" s="9"/>
      <c r="M1006" s="9"/>
      <c r="N1006" s="9"/>
      <c r="O1006" s="9"/>
      <c r="P1006" s="9"/>
    </row>
    <row r="1007" ht="30.0" customHeight="1">
      <c r="A1007" s="5"/>
      <c r="B1007" s="5"/>
      <c r="C1007" s="11"/>
      <c r="D1007" s="5"/>
      <c r="E1007" s="5"/>
      <c r="F1007" s="8"/>
      <c r="G1007" s="8"/>
      <c r="H1007" s="9"/>
      <c r="I1007" s="9"/>
      <c r="J1007" s="9"/>
      <c r="K1007" s="9"/>
      <c r="L1007" s="9"/>
      <c r="M1007" s="9"/>
      <c r="N1007" s="9"/>
      <c r="O1007" s="9"/>
      <c r="P1007" s="9"/>
    </row>
    <row r="1008" ht="30.0" customHeight="1">
      <c r="A1008" s="5"/>
      <c r="B1008" s="5"/>
      <c r="C1008" s="11"/>
      <c r="D1008" s="5"/>
      <c r="E1008" s="5"/>
      <c r="F1008" s="8"/>
      <c r="G1008" s="8"/>
      <c r="H1008" s="9"/>
      <c r="I1008" s="9"/>
      <c r="J1008" s="9"/>
      <c r="K1008" s="9"/>
      <c r="L1008" s="9"/>
      <c r="M1008" s="9"/>
      <c r="N1008" s="9"/>
      <c r="O1008" s="9"/>
      <c r="P1008" s="9"/>
    </row>
    <row r="1009" ht="30.0" customHeight="1">
      <c r="A1009" s="5"/>
      <c r="B1009" s="5"/>
      <c r="C1009" s="11"/>
      <c r="D1009" s="5"/>
      <c r="E1009" s="5"/>
      <c r="F1009" s="8"/>
      <c r="G1009" s="8"/>
      <c r="H1009" s="9"/>
      <c r="I1009" s="9"/>
      <c r="J1009" s="9"/>
      <c r="K1009" s="9"/>
      <c r="L1009" s="9"/>
      <c r="M1009" s="9"/>
      <c r="N1009" s="9"/>
      <c r="O1009" s="9"/>
      <c r="P1009" s="9"/>
    </row>
    <row r="1010" ht="30.0" customHeight="1">
      <c r="A1010" s="5"/>
      <c r="B1010" s="5"/>
      <c r="C1010" s="11"/>
      <c r="D1010" s="5"/>
      <c r="E1010" s="5"/>
      <c r="F1010" s="8"/>
      <c r="G1010" s="8"/>
      <c r="H1010" s="9"/>
      <c r="I1010" s="9"/>
      <c r="J1010" s="9"/>
      <c r="K1010" s="9"/>
      <c r="L1010" s="9"/>
      <c r="M1010" s="9"/>
      <c r="N1010" s="9"/>
      <c r="O1010" s="9"/>
      <c r="P1010" s="9"/>
    </row>
    <row r="1011" ht="30.0" customHeight="1">
      <c r="A1011" s="5"/>
      <c r="B1011" s="5"/>
      <c r="C1011" s="11"/>
      <c r="D1011" s="5"/>
      <c r="E1011" s="5"/>
      <c r="F1011" s="8"/>
      <c r="G1011" s="8"/>
      <c r="H1011" s="9"/>
      <c r="I1011" s="9"/>
      <c r="J1011" s="9"/>
      <c r="K1011" s="9"/>
      <c r="L1011" s="9"/>
      <c r="M1011" s="9"/>
      <c r="N1011" s="9"/>
      <c r="O1011" s="9"/>
      <c r="P1011" s="9"/>
    </row>
    <row r="1012" ht="30.0" customHeight="1">
      <c r="A1012" s="5"/>
      <c r="B1012" s="5"/>
      <c r="C1012" s="11"/>
      <c r="D1012" s="5"/>
      <c r="E1012" s="5"/>
      <c r="F1012" s="8"/>
      <c r="G1012" s="8"/>
      <c r="H1012" s="9"/>
      <c r="I1012" s="9"/>
      <c r="J1012" s="9"/>
      <c r="K1012" s="9"/>
      <c r="L1012" s="9"/>
      <c r="M1012" s="9"/>
      <c r="N1012" s="9"/>
      <c r="O1012" s="9"/>
      <c r="P1012" s="9"/>
    </row>
    <row r="1013" ht="30.0" customHeight="1">
      <c r="A1013" s="5"/>
      <c r="B1013" s="5"/>
      <c r="C1013" s="11"/>
      <c r="D1013" s="5"/>
      <c r="E1013" s="5"/>
      <c r="F1013" s="8"/>
      <c r="G1013" s="8"/>
      <c r="H1013" s="9"/>
      <c r="I1013" s="9"/>
      <c r="J1013" s="9"/>
      <c r="K1013" s="9"/>
      <c r="L1013" s="9"/>
      <c r="M1013" s="9"/>
      <c r="N1013" s="9"/>
      <c r="O1013" s="9"/>
      <c r="P1013" s="9"/>
    </row>
    <row r="1014" ht="30.0" customHeight="1">
      <c r="A1014" s="5"/>
      <c r="B1014" s="5"/>
      <c r="C1014" s="11"/>
      <c r="D1014" s="5"/>
      <c r="E1014" s="5"/>
      <c r="F1014" s="8"/>
      <c r="G1014" s="8"/>
      <c r="H1014" s="9"/>
      <c r="I1014" s="9"/>
      <c r="J1014" s="9"/>
      <c r="K1014" s="9"/>
      <c r="L1014" s="9"/>
      <c r="M1014" s="9"/>
      <c r="N1014" s="9"/>
      <c r="O1014" s="9"/>
      <c r="P1014" s="9"/>
    </row>
    <row r="1015" ht="30.0" customHeight="1">
      <c r="A1015" s="5"/>
      <c r="B1015" s="5"/>
      <c r="C1015" s="11"/>
      <c r="D1015" s="5"/>
      <c r="E1015" s="5"/>
      <c r="F1015" s="8"/>
      <c r="G1015" s="8"/>
      <c r="H1015" s="9"/>
      <c r="I1015" s="9"/>
      <c r="J1015" s="9"/>
      <c r="K1015" s="9"/>
      <c r="L1015" s="9"/>
      <c r="M1015" s="9"/>
      <c r="N1015" s="9"/>
      <c r="O1015" s="9"/>
      <c r="P1015" s="9"/>
    </row>
    <row r="1016" ht="30.0" customHeight="1">
      <c r="A1016" s="5"/>
      <c r="B1016" s="5"/>
      <c r="C1016" s="11"/>
      <c r="D1016" s="5"/>
      <c r="E1016" s="5"/>
      <c r="F1016" s="8"/>
      <c r="G1016" s="8"/>
      <c r="H1016" s="9"/>
      <c r="I1016" s="9"/>
      <c r="J1016" s="9"/>
      <c r="K1016" s="9"/>
      <c r="L1016" s="9"/>
      <c r="M1016" s="9"/>
      <c r="N1016" s="9"/>
      <c r="O1016" s="9"/>
      <c r="P1016" s="9"/>
    </row>
    <row r="1017" ht="30.0" customHeight="1">
      <c r="A1017" s="5"/>
      <c r="B1017" s="5"/>
      <c r="C1017" s="11"/>
      <c r="D1017" s="5"/>
      <c r="E1017" s="5"/>
      <c r="F1017" s="8"/>
      <c r="G1017" s="8"/>
      <c r="H1017" s="9"/>
      <c r="I1017" s="9"/>
      <c r="J1017" s="9"/>
      <c r="K1017" s="9"/>
      <c r="L1017" s="9"/>
      <c r="M1017" s="9"/>
      <c r="N1017" s="9"/>
      <c r="O1017" s="9"/>
      <c r="P1017" s="9"/>
    </row>
    <row r="1018" ht="30.0" customHeight="1">
      <c r="A1018" s="5"/>
      <c r="B1018" s="5"/>
      <c r="C1018" s="11"/>
      <c r="D1018" s="5"/>
      <c r="E1018" s="5"/>
      <c r="F1018" s="8"/>
      <c r="G1018" s="8"/>
      <c r="H1018" s="9"/>
      <c r="I1018" s="9"/>
      <c r="J1018" s="9"/>
      <c r="K1018" s="9"/>
      <c r="L1018" s="9"/>
      <c r="M1018" s="9"/>
      <c r="N1018" s="9"/>
      <c r="O1018" s="9"/>
      <c r="P1018" s="9"/>
    </row>
    <row r="1019" ht="30.0" customHeight="1">
      <c r="A1019" s="5"/>
      <c r="B1019" s="5"/>
      <c r="C1019" s="11"/>
      <c r="D1019" s="5"/>
      <c r="E1019" s="5"/>
      <c r="F1019" s="8"/>
      <c r="G1019" s="8"/>
      <c r="H1019" s="9"/>
      <c r="I1019" s="9"/>
      <c r="J1019" s="9"/>
      <c r="K1019" s="9"/>
      <c r="L1019" s="9"/>
      <c r="M1019" s="9"/>
      <c r="N1019" s="9"/>
      <c r="O1019" s="9"/>
      <c r="P1019" s="9"/>
    </row>
    <row r="1020" ht="30.0" customHeight="1">
      <c r="A1020" s="5"/>
      <c r="B1020" s="5"/>
      <c r="C1020" s="11"/>
      <c r="D1020" s="5"/>
      <c r="E1020" s="5"/>
      <c r="F1020" s="8"/>
      <c r="G1020" s="8"/>
      <c r="H1020" s="9"/>
      <c r="I1020" s="9"/>
      <c r="J1020" s="9"/>
      <c r="K1020" s="9"/>
      <c r="L1020" s="9"/>
      <c r="M1020" s="9"/>
      <c r="N1020" s="9"/>
      <c r="O1020" s="9"/>
      <c r="P1020" s="9"/>
    </row>
    <row r="1021" ht="30.0" customHeight="1">
      <c r="A1021" s="5"/>
      <c r="B1021" s="5"/>
      <c r="C1021" s="11"/>
      <c r="D1021" s="5"/>
      <c r="E1021" s="5"/>
      <c r="F1021" s="8"/>
      <c r="G1021" s="8"/>
      <c r="H1021" s="9"/>
      <c r="I1021" s="9"/>
      <c r="J1021" s="9"/>
      <c r="K1021" s="9"/>
      <c r="L1021" s="9"/>
      <c r="M1021" s="9"/>
      <c r="N1021" s="9"/>
      <c r="O1021" s="9"/>
      <c r="P1021" s="9"/>
    </row>
    <row r="1022" ht="30.0" customHeight="1">
      <c r="A1022" s="5"/>
      <c r="B1022" s="5"/>
      <c r="C1022" s="11"/>
      <c r="D1022" s="5"/>
      <c r="E1022" s="5"/>
      <c r="F1022" s="8"/>
      <c r="G1022" s="8"/>
      <c r="H1022" s="9"/>
      <c r="I1022" s="9"/>
      <c r="J1022" s="9"/>
      <c r="K1022" s="9"/>
      <c r="L1022" s="9"/>
      <c r="M1022" s="9"/>
      <c r="N1022" s="9"/>
      <c r="O1022" s="9"/>
      <c r="P1022" s="9"/>
    </row>
    <row r="1023" ht="30.0" customHeight="1">
      <c r="A1023" s="5"/>
      <c r="B1023" s="5"/>
      <c r="C1023" s="11"/>
      <c r="D1023" s="5"/>
      <c r="E1023" s="5"/>
      <c r="F1023" s="8"/>
      <c r="G1023" s="8"/>
      <c r="H1023" s="9"/>
      <c r="I1023" s="9"/>
      <c r="J1023" s="9"/>
      <c r="K1023" s="9"/>
      <c r="L1023" s="9"/>
      <c r="M1023" s="9"/>
      <c r="N1023" s="9"/>
      <c r="O1023" s="9"/>
      <c r="P1023" s="9"/>
    </row>
    <row r="1024" ht="30.0" customHeight="1">
      <c r="A1024" s="5"/>
      <c r="B1024" s="5"/>
      <c r="C1024" s="11"/>
      <c r="D1024" s="5"/>
      <c r="E1024" s="5"/>
      <c r="F1024" s="8"/>
      <c r="G1024" s="8"/>
      <c r="H1024" s="9"/>
      <c r="I1024" s="9"/>
      <c r="J1024" s="9"/>
      <c r="K1024" s="9"/>
      <c r="L1024" s="9"/>
      <c r="M1024" s="9"/>
      <c r="N1024" s="9"/>
      <c r="O1024" s="9"/>
      <c r="P1024" s="9"/>
    </row>
    <row r="1025" ht="30.0" customHeight="1">
      <c r="A1025" s="5"/>
      <c r="B1025" s="5"/>
      <c r="C1025" s="11"/>
      <c r="D1025" s="5"/>
      <c r="E1025" s="5"/>
      <c r="F1025" s="8"/>
      <c r="G1025" s="8"/>
      <c r="H1025" s="9"/>
      <c r="I1025" s="9"/>
      <c r="J1025" s="9"/>
      <c r="K1025" s="9"/>
      <c r="L1025" s="9"/>
      <c r="M1025" s="9"/>
      <c r="N1025" s="9"/>
      <c r="O1025" s="9"/>
      <c r="P1025" s="9"/>
    </row>
    <row r="1026" ht="30.0" customHeight="1">
      <c r="A1026" s="5"/>
      <c r="B1026" s="5"/>
      <c r="C1026" s="11"/>
      <c r="D1026" s="5"/>
      <c r="E1026" s="5"/>
      <c r="F1026" s="8"/>
      <c r="G1026" s="8"/>
      <c r="H1026" s="9"/>
      <c r="I1026" s="9"/>
      <c r="J1026" s="9"/>
      <c r="K1026" s="9"/>
      <c r="L1026" s="9"/>
      <c r="M1026" s="9"/>
      <c r="N1026" s="9"/>
      <c r="O1026" s="9"/>
      <c r="P1026" s="9"/>
    </row>
    <row r="1027" ht="30.0" customHeight="1">
      <c r="A1027" s="5"/>
      <c r="B1027" s="5"/>
      <c r="C1027" s="11"/>
      <c r="D1027" s="5"/>
      <c r="E1027" s="5"/>
      <c r="F1027" s="8"/>
      <c r="G1027" s="8"/>
      <c r="H1027" s="9"/>
      <c r="I1027" s="9"/>
      <c r="J1027" s="9"/>
      <c r="K1027" s="9"/>
      <c r="L1027" s="9"/>
      <c r="M1027" s="9"/>
      <c r="N1027" s="9"/>
      <c r="O1027" s="9"/>
      <c r="P1027" s="9"/>
    </row>
    <row r="1028" ht="30.0" customHeight="1">
      <c r="A1028" s="5"/>
      <c r="B1028" s="5"/>
      <c r="C1028" s="11"/>
      <c r="D1028" s="5"/>
      <c r="E1028" s="5"/>
      <c r="F1028" s="8"/>
      <c r="G1028" s="8"/>
      <c r="H1028" s="9"/>
      <c r="I1028" s="9"/>
      <c r="J1028" s="9"/>
      <c r="K1028" s="9"/>
      <c r="L1028" s="9"/>
      <c r="M1028" s="9"/>
      <c r="N1028" s="9"/>
      <c r="O1028" s="9"/>
      <c r="P1028" s="9"/>
    </row>
    <row r="1029" ht="30.0" customHeight="1">
      <c r="A1029" s="5"/>
      <c r="B1029" s="5"/>
      <c r="C1029" s="11"/>
      <c r="D1029" s="5"/>
      <c r="E1029" s="5"/>
      <c r="F1029" s="8"/>
      <c r="G1029" s="8"/>
      <c r="H1029" s="9"/>
      <c r="I1029" s="9"/>
      <c r="J1029" s="9"/>
      <c r="K1029" s="9"/>
      <c r="L1029" s="9"/>
      <c r="M1029" s="9"/>
      <c r="N1029" s="9"/>
      <c r="O1029" s="9"/>
      <c r="P1029" s="9"/>
    </row>
    <row r="1030" ht="30.0" customHeight="1">
      <c r="A1030" s="5"/>
      <c r="B1030" s="5"/>
      <c r="C1030" s="11"/>
      <c r="D1030" s="5"/>
      <c r="E1030" s="5"/>
      <c r="F1030" s="8"/>
      <c r="G1030" s="8"/>
      <c r="H1030" s="9"/>
      <c r="I1030" s="9"/>
      <c r="J1030" s="9"/>
      <c r="K1030" s="9"/>
      <c r="L1030" s="9"/>
      <c r="M1030" s="9"/>
      <c r="N1030" s="9"/>
      <c r="O1030" s="9"/>
      <c r="P1030" s="9"/>
    </row>
    <row r="1031" ht="30.0" customHeight="1">
      <c r="A1031" s="5"/>
      <c r="B1031" s="5"/>
      <c r="C1031" s="11"/>
      <c r="D1031" s="5"/>
      <c r="E1031" s="5"/>
      <c r="F1031" s="8"/>
      <c r="G1031" s="8"/>
      <c r="H1031" s="9"/>
      <c r="I1031" s="9"/>
      <c r="J1031" s="9"/>
      <c r="K1031" s="9"/>
      <c r="L1031" s="9"/>
      <c r="M1031" s="9"/>
      <c r="N1031" s="9"/>
      <c r="O1031" s="9"/>
      <c r="P1031" s="9"/>
    </row>
    <row r="1032" ht="30.0" customHeight="1">
      <c r="A1032" s="5"/>
      <c r="B1032" s="5"/>
      <c r="C1032" s="11"/>
      <c r="D1032" s="5"/>
      <c r="E1032" s="5"/>
      <c r="F1032" s="8"/>
      <c r="G1032" s="8"/>
      <c r="H1032" s="9"/>
      <c r="I1032" s="9"/>
      <c r="J1032" s="9"/>
      <c r="K1032" s="9"/>
      <c r="L1032" s="9"/>
      <c r="M1032" s="9"/>
      <c r="N1032" s="9"/>
      <c r="O1032" s="9"/>
      <c r="P1032" s="9"/>
    </row>
    <row r="1033" ht="30.0" customHeight="1">
      <c r="A1033" s="5"/>
      <c r="B1033" s="5"/>
      <c r="C1033" s="11"/>
      <c r="D1033" s="5"/>
      <c r="E1033" s="5"/>
      <c r="F1033" s="8"/>
      <c r="G1033" s="8"/>
      <c r="H1033" s="9"/>
      <c r="I1033" s="9"/>
      <c r="J1033" s="9"/>
      <c r="K1033" s="9"/>
      <c r="L1033" s="9"/>
      <c r="M1033" s="9"/>
      <c r="N1033" s="9"/>
      <c r="O1033" s="9"/>
      <c r="P1033" s="9"/>
    </row>
    <row r="1034" ht="30.0" customHeight="1">
      <c r="A1034" s="5"/>
      <c r="B1034" s="5"/>
      <c r="C1034" s="11"/>
      <c r="D1034" s="5"/>
      <c r="E1034" s="5"/>
      <c r="F1034" s="8"/>
      <c r="G1034" s="8"/>
      <c r="H1034" s="9"/>
      <c r="I1034" s="9"/>
      <c r="J1034" s="9"/>
      <c r="K1034" s="9"/>
      <c r="L1034" s="9"/>
      <c r="M1034" s="9"/>
      <c r="N1034" s="9"/>
      <c r="O1034" s="9"/>
      <c r="P1034" s="9"/>
    </row>
    <row r="1035" ht="30.0" customHeight="1">
      <c r="A1035" s="5"/>
      <c r="B1035" s="5"/>
      <c r="C1035" s="11"/>
      <c r="D1035" s="5"/>
      <c r="E1035" s="5"/>
      <c r="F1035" s="8"/>
      <c r="G1035" s="8"/>
      <c r="H1035" s="9"/>
      <c r="I1035" s="9"/>
      <c r="J1035" s="9"/>
      <c r="K1035" s="9"/>
      <c r="L1035" s="9"/>
      <c r="M1035" s="9"/>
      <c r="N1035" s="9"/>
      <c r="O1035" s="9"/>
      <c r="P1035" s="9"/>
    </row>
    <row r="1036" ht="30.0" customHeight="1">
      <c r="A1036" s="5"/>
      <c r="B1036" s="5"/>
      <c r="C1036" s="11"/>
      <c r="D1036" s="5"/>
      <c r="E1036" s="5"/>
      <c r="F1036" s="8"/>
      <c r="G1036" s="8"/>
      <c r="H1036" s="9"/>
      <c r="I1036" s="9"/>
      <c r="J1036" s="9"/>
      <c r="K1036" s="9"/>
      <c r="L1036" s="9"/>
      <c r="M1036" s="9"/>
      <c r="N1036" s="9"/>
      <c r="O1036" s="9"/>
      <c r="P1036" s="9"/>
    </row>
    <row r="1037" ht="30.0" customHeight="1">
      <c r="A1037" s="5"/>
      <c r="B1037" s="5"/>
      <c r="C1037" s="11"/>
      <c r="D1037" s="5"/>
      <c r="E1037" s="5"/>
      <c r="F1037" s="8"/>
      <c r="G1037" s="8"/>
      <c r="H1037" s="9"/>
      <c r="I1037" s="9"/>
      <c r="J1037" s="9"/>
      <c r="K1037" s="9"/>
      <c r="L1037" s="9"/>
      <c r="M1037" s="9"/>
      <c r="N1037" s="9"/>
      <c r="O1037" s="9"/>
      <c r="P1037" s="9"/>
    </row>
    <row r="1038" ht="30.0" customHeight="1">
      <c r="A1038" s="5"/>
      <c r="B1038" s="5"/>
      <c r="C1038" s="11"/>
      <c r="D1038" s="5"/>
      <c r="E1038" s="5"/>
      <c r="F1038" s="8"/>
      <c r="G1038" s="8"/>
      <c r="H1038" s="9"/>
      <c r="I1038" s="9"/>
      <c r="J1038" s="9"/>
      <c r="K1038" s="9"/>
      <c r="L1038" s="9"/>
      <c r="M1038" s="9"/>
      <c r="N1038" s="9"/>
      <c r="O1038" s="9"/>
      <c r="P1038" s="9"/>
    </row>
    <row r="1039" ht="30.0" customHeight="1">
      <c r="A1039" s="5"/>
      <c r="B1039" s="5"/>
      <c r="C1039" s="11"/>
      <c r="D1039" s="5"/>
      <c r="E1039" s="5"/>
      <c r="F1039" s="8"/>
      <c r="G1039" s="8"/>
      <c r="H1039" s="9"/>
      <c r="I1039" s="9"/>
      <c r="J1039" s="9"/>
      <c r="K1039" s="9"/>
      <c r="L1039" s="9"/>
      <c r="M1039" s="9"/>
      <c r="N1039" s="9"/>
      <c r="O1039" s="9"/>
      <c r="P1039" s="9"/>
    </row>
    <row r="1040" ht="30.0" customHeight="1">
      <c r="A1040" s="5"/>
      <c r="B1040" s="5"/>
      <c r="C1040" s="11"/>
      <c r="D1040" s="5"/>
      <c r="E1040" s="5"/>
      <c r="F1040" s="8"/>
      <c r="G1040" s="8"/>
      <c r="H1040" s="9"/>
      <c r="I1040" s="9"/>
      <c r="J1040" s="9"/>
      <c r="K1040" s="9"/>
      <c r="L1040" s="9"/>
      <c r="M1040" s="9"/>
      <c r="N1040" s="9"/>
      <c r="O1040" s="9"/>
      <c r="P1040" s="9"/>
    </row>
    <row r="1041" ht="30.0" customHeight="1">
      <c r="A1041" s="5"/>
      <c r="B1041" s="5"/>
      <c r="C1041" s="11"/>
      <c r="D1041" s="5"/>
      <c r="E1041" s="5"/>
      <c r="F1041" s="8"/>
      <c r="G1041" s="8"/>
      <c r="H1041" s="9"/>
      <c r="I1041" s="9"/>
      <c r="J1041" s="9"/>
      <c r="K1041" s="9"/>
      <c r="L1041" s="9"/>
      <c r="M1041" s="9"/>
      <c r="N1041" s="9"/>
      <c r="O1041" s="9"/>
      <c r="P1041" s="9"/>
    </row>
    <row r="1042" ht="30.0" customHeight="1">
      <c r="A1042" s="5"/>
      <c r="B1042" s="5"/>
      <c r="C1042" s="11"/>
      <c r="D1042" s="5"/>
      <c r="E1042" s="5"/>
      <c r="F1042" s="8"/>
      <c r="G1042" s="8"/>
      <c r="H1042" s="9"/>
      <c r="I1042" s="9"/>
      <c r="J1042" s="9"/>
      <c r="K1042" s="9"/>
      <c r="L1042" s="9"/>
      <c r="M1042" s="9"/>
      <c r="N1042" s="9"/>
      <c r="O1042" s="9"/>
      <c r="P1042" s="9"/>
    </row>
    <row r="1043" ht="30.0" customHeight="1">
      <c r="A1043" s="5"/>
      <c r="B1043" s="5"/>
      <c r="C1043" s="11"/>
      <c r="D1043" s="5"/>
      <c r="E1043" s="5"/>
      <c r="F1043" s="8"/>
      <c r="G1043" s="8"/>
      <c r="H1043" s="9"/>
      <c r="I1043" s="9"/>
      <c r="J1043" s="9"/>
      <c r="K1043" s="9"/>
      <c r="L1043" s="9"/>
      <c r="M1043" s="9"/>
      <c r="N1043" s="9"/>
      <c r="O1043" s="9"/>
      <c r="P1043" s="9"/>
    </row>
    <row r="1044" ht="30.0" customHeight="1">
      <c r="A1044" s="5"/>
      <c r="B1044" s="5"/>
      <c r="C1044" s="11"/>
      <c r="D1044" s="5"/>
      <c r="E1044" s="5"/>
      <c r="F1044" s="8"/>
      <c r="G1044" s="8"/>
      <c r="H1044" s="9"/>
      <c r="I1044" s="9"/>
      <c r="J1044" s="9"/>
      <c r="K1044" s="9"/>
      <c r="L1044" s="9"/>
      <c r="M1044" s="9"/>
      <c r="N1044" s="9"/>
      <c r="O1044" s="9"/>
      <c r="P1044" s="9"/>
    </row>
    <row r="1045" ht="30.0" customHeight="1">
      <c r="A1045" s="5"/>
      <c r="B1045" s="5"/>
      <c r="C1045" s="11"/>
      <c r="D1045" s="5"/>
      <c r="E1045" s="5"/>
      <c r="F1045" s="8"/>
      <c r="G1045" s="8"/>
      <c r="H1045" s="9"/>
      <c r="I1045" s="9"/>
      <c r="J1045" s="9"/>
      <c r="K1045" s="9"/>
      <c r="L1045" s="9"/>
      <c r="M1045" s="9"/>
      <c r="N1045" s="9"/>
      <c r="O1045" s="9"/>
      <c r="P1045" s="9"/>
    </row>
    <row r="1046" ht="30.0" customHeight="1">
      <c r="A1046" s="5"/>
      <c r="B1046" s="5"/>
      <c r="C1046" s="11"/>
      <c r="D1046" s="5"/>
      <c r="E1046" s="5"/>
      <c r="F1046" s="8"/>
      <c r="G1046" s="8"/>
      <c r="H1046" s="9"/>
      <c r="I1046" s="9"/>
      <c r="J1046" s="9"/>
      <c r="K1046" s="9"/>
      <c r="L1046" s="9"/>
      <c r="M1046" s="9"/>
      <c r="N1046" s="9"/>
      <c r="O1046" s="9"/>
      <c r="P1046" s="9"/>
    </row>
  </sheetData>
  <drawing r:id="rId1"/>
</worksheet>
</file>