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rasferimenti ad Enti Pubblici" sheetId="1" r:id="rId3"/>
  </sheets>
  <definedNames/>
  <calcPr/>
</workbook>
</file>

<file path=xl/sharedStrings.xml><?xml version="1.0" encoding="utf-8"?>
<sst xmlns="http://schemas.openxmlformats.org/spreadsheetml/2006/main" count="2945" uniqueCount="811">
  <si>
    <t>Impresa o altro soggetto beneficiario</t>
  </si>
  <si>
    <t>Partita IVA o Codice Fiscale</t>
  </si>
  <si>
    <t>Importo in Euro</t>
  </si>
  <si>
    <t>Norma o titolo base dell'attribuzione</t>
  </si>
  <si>
    <t>Oggetto</t>
  </si>
  <si>
    <t>Ufficio</t>
  </si>
  <si>
    <t>Modalita' seguita per l'individuazione del beneficiario</t>
  </si>
  <si>
    <t>Allegato 1</t>
  </si>
  <si>
    <t>Allegato 2</t>
  </si>
  <si>
    <t>COMUNE DI BARETE</t>
  </si>
  <si>
    <t>CF 00148360662</t>
  </si>
  <si>
    <t>TRASFERIMENTO RISORSE FINALIZZATE ALLA RICOSTRUZIONE PRIVATA - Delibera CIPE 58/2017 – Comune di BARETE (AQ) Rif. Richiesta Comune Prot. n. 2758 del 08/10/2018</t>
  </si>
  <si>
    <t>USRC</t>
  </si>
  <si>
    <t>CODFIN CIPE58art1</t>
  </si>
  <si>
    <t>COMUNE DI TOCCO DA CASAURIA</t>
  </si>
  <si>
    <t>CF 00231830688</t>
  </si>
  <si>
    <t>TRASFERIMENTO RISORSE FINALIZZATE ALLA RICOSTRUZIONE PRIVATA FUORI CRATERE - DELIBERA CIPE 22/2015 - COMUNE DI TOCCO DA CASAURIA (PE)</t>
  </si>
  <si>
    <t>CODFIN CIPE22art1co2</t>
  </si>
  <si>
    <t>COMUNE DI ACCIANO</t>
  </si>
  <si>
    <t>CF 83003750664</t>
  </si>
  <si>
    <t>lavori di ristrutturazione e messa in sicurezza della torre medievale della frazione di Roccapreturo. Comune di Acciano, erogazione SAL 1</t>
  </si>
  <si>
    <t>CODFIN CIPE135art1co3</t>
  </si>
  <si>
    <t>COMUNE DI PACENTRO</t>
  </si>
  <si>
    <t>CF 83000650669</t>
  </si>
  <si>
    <t>scuola elementare e media - Comune di Pacentro CUP: H91E14000130001 - PROTOCOLLO NORMALIZZATO: AQ-PCN-OOPP-04786. Trasferimento primo acconto</t>
  </si>
  <si>
    <t>CODFIN DISET48CIart10c1</t>
  </si>
  <si>
    <t>COMUNE DI LECCE NEI MARSI</t>
  </si>
  <si>
    <t>CF 81004960662</t>
  </si>
  <si>
    <t>scuola elementare - Comune di Lecce nei Marsi CUP: C21E17000030005 - PROTOCOLLO NORMALIZZATO: AQ-CAL-OOPP-05029.Trasferimento primo acconto.</t>
  </si>
  <si>
    <t>COMUNE DI SAN DEMETRIO NE' VESTINI</t>
  </si>
  <si>
    <t>CF 80002710665</t>
  </si>
  <si>
    <t>lavori di recupero e ristrutturazione dell’edificio ex scuola elementare “L. Volpicelli” da destinare a nuova sede comunale - Comune di San Demetrio ne’ Vestini (AQ). Liquidazione somme SAL 6 e competenze tecniche</t>
  </si>
  <si>
    <t>COMUNE DI ARSITA</t>
  </si>
  <si>
    <t>CF 00139560676</t>
  </si>
  <si>
    <t>lavori di messa in sicurezza edificio denominato “il borgo” di Arsita (TE). Liquidazione somme ultimo SAL, CRE e contributo ANAC</t>
  </si>
  <si>
    <t>CODFIN CIPE135art1co1</t>
  </si>
  <si>
    <t>COMUNE DI COCULLO</t>
  </si>
  <si>
    <t>CF 00218020667</t>
  </si>
  <si>
    <t>interventi per l’accessibilità e la funzionalità delle strutture cimiteriali - loculario e muri perimetrali - Comune di Cocullo (AQ). Erogazione somme SAL 3 e spese tecniche</t>
  </si>
  <si>
    <t>COMUNE DI SAN PIO DELLE CAMERE</t>
  </si>
  <si>
    <t>CF 00197690662</t>
  </si>
  <si>
    <t>lavori di demolizione e ricostruzione sede comunale - Comune di Pio delle Camere (AQ). Erogazione SAL 2, spese tecniche e supporto al RUP</t>
  </si>
  <si>
    <t>COMUNE DI BRITTOLI</t>
  </si>
  <si>
    <t>CF 80001450685</t>
  </si>
  <si>
    <t>lavori di ripristino aree cimiteriali danneggiate dal sisma del 6 aprile 2009. Comune di Brittoli (PE). Erogazione SAL 1, spese tecniche</t>
  </si>
  <si>
    <t>COMUNE DI MAGLIANO DE' MARSI</t>
  </si>
  <si>
    <t>CF 00182090662</t>
  </si>
  <si>
    <t>TRASFERIMENTO RISORSE FINALIZZATE ALLA RICOSTRUZIONE PRIVATA FUORI CRATERE - Delibera CIPE 22/2015 – Comune di Magliano dei Marsi (AQ)</t>
  </si>
  <si>
    <t>COMUNE DI CASTELVECCHIO SUBEQUO</t>
  </si>
  <si>
    <t>CF 00208410662</t>
  </si>
  <si>
    <t>lavori di riparazione edificio adibito a poliambulatorio comunale. Comune di Castelvecchio Subequo. Erogazione SAL 1</t>
  </si>
  <si>
    <t>COMUNE DI PICCIANO</t>
  </si>
  <si>
    <t>CF 00230400681</t>
  </si>
  <si>
    <t>TRASFERIMENTO RISORSE FINALIZZATE ALLA RICOSTRUZIONE PRIVATA FUORI CRATERE - Delibera CIPE 22/2015 – Comune di Picciano (PE)</t>
  </si>
  <si>
    <t>PROVINCIA DI PESCARA</t>
  </si>
  <si>
    <t>CF 00212850689</t>
  </si>
  <si>
    <t>Istituto “V. Bellisario” del Polo scolastico “Misticoni-Bellisario” di Pescara - Provincia di Pescara CUP: C21E13000170004 - PROTOCOLLO NORMALIZZATO: PE-PROVPE-OOPP-03371. Acquisizione rendicontazione della seconda rata e trasferimento rata finale.</t>
  </si>
  <si>
    <t>COMUNE DI LORETO APRUTINO</t>
  </si>
  <si>
    <t>CF 00127900686</t>
  </si>
  <si>
    <t>Scuola primaria “Passo Cordone”, CUP: H45J11000220001 PROTOCOLLO NORMALIZZATO: PE-LRA-OOPP-04545 - Comune di Loreto Aprutino (PE). Rendicontazione seconda rata e ultimo trasferimento.</t>
  </si>
  <si>
    <t>COMUNE DI CELLINO ATTANASIO</t>
  </si>
  <si>
    <t>CF 81000350678</t>
  </si>
  <si>
    <t>Scuola media - Comune di Cellino Attanasio. CUP: J54H15001140001 - PROTOCOLLO NORMALIZZATO TE-CLT-OOPP-04576. Rendicontazione prima e trasferimento seconda rata.</t>
  </si>
  <si>
    <t>COMUNE DI PIANELLA</t>
  </si>
  <si>
    <t>CF 00225910686</t>
  </si>
  <si>
    <t>Scuola media capoluogo, via Villa De Felici n. 1” CUP: B41E16000360004 PROTOCOLLO NORMALIZZATO: PE-PNL-OOPP-05080. Comune di Pianella (PE). Trasferimento primo acconto.</t>
  </si>
  <si>
    <t>COMUNE DI FONTECCHIO</t>
  </si>
  <si>
    <t>CF 00189210669</t>
  </si>
  <si>
    <t>TRASFERIMENTO RISORSE FINALIZZATE ALLA RICOSTRUZIONE PRIVATA - Delibera CIPE 58/2017 – Comune di FONTECCCHIO (AQ) Rif. Richiesta Comune Prot. n. 2967 del 19/09/2018 sostituita da Prot. n. 3748 del 07/12/2018</t>
  </si>
  <si>
    <t>COMUNE DI BARISCIANO</t>
  </si>
  <si>
    <t>CF 00195850664</t>
  </si>
  <si>
    <t>TRASFERIMENTO RISORSE FINALIZZATE ALLA RICOSTRUZIONE PRIVATA - Delibera CIPE 58/2017 – Comune di BARISCIANO (AQ) Rif. Richiesta Comune Prot. n. 8547 del 19/10/2018 sostituita da Prot. n. 10624 del 21/12/2018</t>
  </si>
  <si>
    <t>COMUNE DI SANTO STEFANO DI SESSANIO</t>
  </si>
  <si>
    <t>CF 00173470667</t>
  </si>
  <si>
    <t>TRASFERIMENTO RISORSE FINALIZZATE ALLA RICOSTRUZIONE PRIVATA - Delibera CIPE 58/2017 – Comune di SANTO STEFANO DI SESSANIO (AQ) Rif. Richiesta Comune Prot. n. 2526 del 08/10/2018</t>
  </si>
  <si>
    <t>COMUNE DI POPOLI</t>
  </si>
  <si>
    <t>CF 00123600686</t>
  </si>
  <si>
    <t>TRASFERIMENTO RISORSE FINALIZZATE ALLA RICOSTRUZIONE PRIVATA - Delibera CIPE 58/2017 – Comune di POPOLI (PE) Rif. Richiesta Comune Prot. n. 13983 del 01/10/2018</t>
  </si>
  <si>
    <t>COMUNE DI FOSSA</t>
  </si>
  <si>
    <t>CF 80001770660</t>
  </si>
  <si>
    <t>intervento di straordinaria manutenzione MAP sito in Viale Friuli Venezia Giulia n. 12 14 16 - Comune di Fossa (AQ). Erogazione somme</t>
  </si>
  <si>
    <t>CODFIN CIPE135art1c1</t>
  </si>
  <si>
    <t>intervento di modifica messa in sicurezza aggregato in località Cardabello - via Calvario - via dell’olmo. Comune di San Demetrio ne’ Vestini. Liquidazione somme SAL Finale e Spese tecniche.</t>
  </si>
  <si>
    <t>COMUNE DI BOLOGNANO</t>
  </si>
  <si>
    <t>CF 00170370688</t>
  </si>
  <si>
    <t>TRASFERIMENTO RISORSE FINALIZZATE ALLA RICOSTRUZIONE PRIVATA FUORI CRATERE - Delibera CIPE 22/2015 – Comune di BOLOGNANO (PE)</t>
  </si>
  <si>
    <t>COMUNE DI PRATA D'ANSIDONIA</t>
  </si>
  <si>
    <t>CF 00195150669</t>
  </si>
  <si>
    <t>intervento di ripristino dell’accessibilità e della fruibilità degli spazi pubblici e delle pubbliche vie. Comune di Prata d’Ansidonia. LOTTO 3 (S1 - S3). Liquidazione spese tecniche e RUP</t>
  </si>
  <si>
    <t>intervento di ripristino dell’accessibilità e della fruibilità degli spazi pubblici e delle pubbliche vie. Comune di Prata d’Ansidonia. LOTTO 3 (S2). Liquidazione somme SAL finale lavori e spese tecniche</t>
  </si>
  <si>
    <t>COMUNE DI VILLA SANT'ANGELO</t>
  </si>
  <si>
    <t>CF 80002590661</t>
  </si>
  <si>
    <t>intervento di rimozione macerie e messa in sicurezza via dei Colombi, fraz. Tussillo - Comune di Villa Sant’Angelo (AQ). Liquidazione somme SAL Finale</t>
  </si>
  <si>
    <t>intervento di lavori di manutenzione delle opere di messa in sicurezza post sisma realizzati sugli edifici di cui al fg. 18 part. 1979. Comune di San Demetrio ne’ Vestini Saldo spese tecniche.</t>
  </si>
  <si>
    <t>messa in sicurezza post sisma muro dei cappuccini. Rendicontazione somme rimozione situazioni di pericolo - Comune di Fontecchio (AQ). Liquidazione somme a saldo.</t>
  </si>
  <si>
    <t>COMUNE DI VICOLI</t>
  </si>
  <si>
    <t>CF 00229630686</t>
  </si>
  <si>
    <t>TRASFERIMENTO RISORSE FINALIZZATE ALLA RICOSTRUZIONE PRIVATA FUORI CRATERE - Delibera CIPE 22/2015 – Comune di VICOLI (PE)</t>
  </si>
  <si>
    <t>COMUNE DI CAPORCIANO</t>
  </si>
  <si>
    <t>CF 00187590666</t>
  </si>
  <si>
    <t>lavori di riparazione dell’edilizia cimiteriale danneggiata dal siam del 06/04/2009 nel comune di Caporciano (AQ). Erogazione acconto 20% e presa d’atto della perizia di variante</t>
  </si>
  <si>
    <t>CODFIN CIPE135art1c3</t>
  </si>
  <si>
    <t>COMUNE DI SCOPPITO</t>
  </si>
  <si>
    <t>CF 00183860667</t>
  </si>
  <si>
    <t>lavori di riparazione edificio comunale adibito a sede della società servizi - Comune di Scoppito (AQ). Erogazione SAL 1</t>
  </si>
  <si>
    <t>COMUNE DI CERMIGNANO</t>
  </si>
  <si>
    <t>CF 80003870674</t>
  </si>
  <si>
    <t>TRASFERIMENTO RISORSE FINALIZZATE ALLA RICOSTRUZIONE PRIVATA FUORI CRATERE - Delibera CIPE 22/2015 – Comune di CERMIGNANO (TE)</t>
  </si>
  <si>
    <t>lavori di rimozione macerie per la messa in sicurezza dell’aggregato in via Colombo Andreassi - Comune di Villa Sant’Angelo (AQ). Liquidazione saldo spese tecniche</t>
  </si>
  <si>
    <t>COMUNE DI ALANNO</t>
  </si>
  <si>
    <t>CF 80013770682</t>
  </si>
  <si>
    <t>TRASFERIMENTO RISORSE FINALIZZATE ALLA RICOSTRUZIONE PRIVATA FUORI CRATERE - Delibera CIPE 22/2015 – Comune di ALANNO (PE)</t>
  </si>
  <si>
    <t>COMUNE DI COLLEDARA</t>
  </si>
  <si>
    <t>CF 80004630671</t>
  </si>
  <si>
    <t>lavori di messa in sicurezza di immobili privati che pregiudicano la pubblica incolumità in Villa Petto - Comune di Colledara (TE). Trasferimento risorse relative al SAL Finale dei lavori e saldo delle spese tecniche</t>
  </si>
  <si>
    <t>COMUNE DI TERAMO</t>
  </si>
  <si>
    <t>CF 00174750679</t>
  </si>
  <si>
    <t>TRASFERIMENTO RISORSE FINALIZZATE ALLA RICOSTRUZIONE PRIVATA FUORI CRATERE - Delibera CIPE 22/2015 – Comune di TERAMO (TE)</t>
  </si>
  <si>
    <t>lavori di sistemazione muri viabilità pubblica danneggiati a seguito del sisma del 6 aprile 2009. Trasferimento risorse per SAL finale e altre spese</t>
  </si>
  <si>
    <t>COMUNE DI CAMPLI</t>
  </si>
  <si>
    <t>CF 80005970670</t>
  </si>
  <si>
    <t>TRASFERIMENTO RISORSE FINALIZZATE ALLA RICOSTRUZIONE PRIVATA FUORI CRATERE - Delibera CIPE 22/2015 – Comune di CAMPLI (TE)</t>
  </si>
  <si>
    <t>RENDICONTAZIONE CO.CO.CO. (GENNAIO-DICEMBRE 2017)</t>
  </si>
  <si>
    <t>CODFIN CIPE50a1c3</t>
  </si>
  <si>
    <t>COMUNE DI CAGNANO AMITERNO</t>
  </si>
  <si>
    <t>CF 80003670660</t>
  </si>
  <si>
    <t>RENDICONTAZIONE CO.CO.CO. (GENNAIO -DICEMBRE 2017)</t>
  </si>
  <si>
    <t>COMUNE DI CAMPOTOSTO</t>
  </si>
  <si>
    <t>CF 00085160661</t>
  </si>
  <si>
    <t>RENDICONTAZIONE CO.CO.CO. (MAGGIO -DICEMBRE 2017)</t>
  </si>
  <si>
    <t>COMUNE DI CAPESTRANO</t>
  </si>
  <si>
    <t>CF 00199980665</t>
  </si>
  <si>
    <t>RENDICONTAZIONE CO.CO.CO. ( OTTOBRE-DICEMBRE 2017)</t>
  </si>
  <si>
    <t>COMUNE DI CARAPELLE CALVISIO</t>
  </si>
  <si>
    <t>CF 00197710668</t>
  </si>
  <si>
    <t>RENDICONTAZIONE CO.CO.CO. (NOVEMBRE-DICEMBRE 2017)</t>
  </si>
  <si>
    <t>COMUNE DI FAGNANO ALTO</t>
  </si>
  <si>
    <t>CF 00193030665</t>
  </si>
  <si>
    <t>COMUNE DI NAVELLI</t>
  </si>
  <si>
    <t>CF 00188910665</t>
  </si>
  <si>
    <t>COMUNE DI PENNA SANT'ANDREA</t>
  </si>
  <si>
    <t>CF 80005210671</t>
  </si>
  <si>
    <t>RENDICONTAZIONE CO.CO.CO. (SETTEMBRE-DICEMBRE 2017)</t>
  </si>
  <si>
    <t>COMUNE DI PIETRACAMELA</t>
  </si>
  <si>
    <t>CF 80005250677</t>
  </si>
  <si>
    <t>COMUNE DI TORNIMPARTE</t>
  </si>
  <si>
    <t>CF 00190240663</t>
  </si>
  <si>
    <t>RENDICONTAZIONE CO.CO.CO. (LUGLIO-DICEMBRE 2017)</t>
  </si>
  <si>
    <t>RENDICONTAZIONE CO.CO.CO. (GENNAIO-AGOSTO 2018)</t>
  </si>
  <si>
    <t>CODFIN CIPE69art1c2</t>
  </si>
  <si>
    <t>RENDICONTAZIONE CO.CO.CO. ( GENNAIO -GIUGNO 2018)</t>
  </si>
  <si>
    <t>COMUNE DI BUGNARA</t>
  </si>
  <si>
    <t>CF 00190300665</t>
  </si>
  <si>
    <t>RENDICONTAZIONE CO.CO.CO. ( GENNAIO -SETTEMBRE 2018)</t>
  </si>
  <si>
    <t>RENDICONTAZIONE CO.CO.CO. ( GENNAIO -MARZO 2018)</t>
  </si>
  <si>
    <t>RENDICONTAZIONE CO.CO.CO. (GENNAIO-APRILE 2018)</t>
  </si>
  <si>
    <t>RENDICONTAZIONE CO.CO.CO. (MAGGIO-SETTEMBRE 2018)</t>
  </si>
  <si>
    <t>RENDICONTAZIONE CO.CO.CO. (GENNAIO-GIUGNO 2018)</t>
  </si>
  <si>
    <t>COMUNE DI CASTEL DEL MONTE</t>
  </si>
  <si>
    <t>CF 80002030668</t>
  </si>
  <si>
    <t>COMUNE DI CASTEL DI IERI</t>
  </si>
  <si>
    <t>CF 00235390663</t>
  </si>
  <si>
    <t>RENDICONTAZIONE CO.CO.CO. ( GENNAIO -DICEMBRE 2018)</t>
  </si>
  <si>
    <t>RENDICONTAZIONE CO.CO.CO. ( GENNAIO -AGOSTO 2018)</t>
  </si>
  <si>
    <t>COMUNE DI CUGNOLI</t>
  </si>
  <si>
    <t>CF 80003250687</t>
  </si>
  <si>
    <t>RENDICONTAZIONE CO.CO.CO. (GENNAIO-DICEMBRE 2018)</t>
  </si>
  <si>
    <t>COMUNE DI LUCOLI</t>
  </si>
  <si>
    <t>CF 00094420668</t>
  </si>
  <si>
    <t>COMUNE DI MONTORIO AL VOMANO</t>
  </si>
  <si>
    <t>CF 80002070672</t>
  </si>
  <si>
    <t>COMUNE DI OFENA</t>
  </si>
  <si>
    <t>CF 80004410660</t>
  </si>
  <si>
    <t>RENDICONTAZIONE CO.CO.CO. (APRILE-AGOSTO 2018)</t>
  </si>
  <si>
    <t>RENDICONTAZIONE CO.CO.CO. (LUGLIO - DICEMBRE 2018)</t>
  </si>
  <si>
    <t>COMUNE DI SANT'EUSANIO FORCONESE</t>
  </si>
  <si>
    <t>CF 80002610667</t>
  </si>
  <si>
    <t>COMUNE DI TORRE DE' PASSERI</t>
  </si>
  <si>
    <t>CF 00192970689</t>
  </si>
  <si>
    <t>RENDICONTAZIONE CO.CO.CO. (MARZO-OTTOBRE 2018)</t>
  </si>
  <si>
    <t>CF 00189270663</t>
  </si>
  <si>
    <t>COMUNE DI TOSSICIA</t>
  </si>
  <si>
    <t>CF 80000370678</t>
  </si>
  <si>
    <t>RENDICONTAZIONE CO.CO.CO. (GENNAIO-SETTEMBRE 2018)</t>
  </si>
  <si>
    <t>RENDICONTAZIONE CO.CO.CO. (GENNAIO-MAGGIO 2016)</t>
  </si>
  <si>
    <t>CODFIN CIPE113a4c1</t>
  </si>
  <si>
    <t>PROGRAMMA DI SVILUPPO RESTART (DELIBERA CIPE 49/2016) - TRASFERIMENTO FONDI A FAVORE DEL COMUNE DI SCOPPITO PER L'ATTUAZIONE DELL'INTERVENTO "POTENZIAMENTO DEL CURRICOLO IN AMBITO LINGUISTICO E SCIENTIFICO" (DELIBERA CIPE 70/2017, ANNUALITA' 2017).</t>
  </si>
  <si>
    <t>CODFIN CIPE70p2t2</t>
  </si>
  <si>
    <t>COMUNE DI VILLA SANTA LUCIA DEGLI ABRUZZI</t>
  </si>
  <si>
    <t>CF 00193560661</t>
  </si>
  <si>
    <t>Assegnazione e erogazione fondi per rimborso interventi eseguiti relativi al "Progetto di Videosorveglianza dei comuni del cratere ” - Villa Santa Lucia degli Abruzzi (Aq)</t>
  </si>
  <si>
    <t>CODFIN DPCM 16/10/2012 art2c1lc</t>
  </si>
  <si>
    <t>Assegnazione e erogazione fondi per rimborso interventi eseguiti relativi al "Progetto di Videosorveglianza dei comuni del cratere ” - Castelvecchio Subequo (Aq)</t>
  </si>
  <si>
    <t>COMUNE DI CASTILENTI</t>
  </si>
  <si>
    <t>CF 81000270678</t>
  </si>
  <si>
    <t>TRASFERIMENTO RISORSE FINALIZZATE ALLA RICOSTRUZIONE PRIVATA FUORI CRATERE - Delibera CIPE 22/2015 – Comune di CASTILENTI (TE)</t>
  </si>
  <si>
    <t>COMUNE DI CASTELLI</t>
  </si>
  <si>
    <t>CF 00179510672</t>
  </si>
  <si>
    <t>TRASFERIMENTO RISORSE FINALIZZATE ALLA RICOSTRUZIONE PRIVATA - Delibera CIPE 58/2017 – Comune di CASTELLI (TE) Rif. Richiesta Comune Prot. n. 42 del 09/01/2019 che sostituisce il Prot. n. 2581 del 11/07/2018</t>
  </si>
  <si>
    <t>CONTRIBUTO AUTONOMA SISTEMAZIONE (LUGLIO e AGOSTO 2018 )</t>
  </si>
  <si>
    <t>CODFIN CIPE78a1c1</t>
  </si>
  <si>
    <t>COMUNE DI BUSSI SUL TIRINO</t>
  </si>
  <si>
    <t>CF 00231710682</t>
  </si>
  <si>
    <t>CONTRIBUTO AUTONOMA SISTEMAZIONE (FEBBRAIO-GIUGNO 2018 )</t>
  </si>
  <si>
    <t>CONTRIBUTO AUTONOMA SISTEMAZIONE (APRILE-AGOSTO, DICEMBRE 2018)</t>
  </si>
  <si>
    <t>CONTRIBUTO AUTONOMA SISTEMAZIONE (FEBBRAIO-GIUGNO 2018</t>
  </si>
  <si>
    <t>CONTRIBUTO AUTONOMA SISTEMAZIONE (MARZO-SETTEMBRE 2018)</t>
  </si>
  <si>
    <t>CONTRIBUTO AUTONOMA SISTEMAZIONE (MAGGIO e GIUGNO 2018)</t>
  </si>
  <si>
    <t>CONTRIBUTO AUTONOMA SISTEMAZIONE (GENNAIO-AGOSTO 2018)</t>
  </si>
  <si>
    <t>CONTRIBUTO AUTONOMA SISTEMAZIONE (MAGGIO - AGOSTO 2018)</t>
  </si>
  <si>
    <t>CONTRIBUTO AUTONOMA SISTEMAZIONE (MARZO-APRILE 2018)</t>
  </si>
  <si>
    <t>COMUNE DI RAIANO</t>
  </si>
  <si>
    <t>CF 00219510666</t>
  </si>
  <si>
    <t>CONTRIBUTO AUTONOMA SISTEMAZIONE (SETTEMBRE-DICEMBRE 2017,GENNAIO-MAGGIO 2018 )</t>
  </si>
  <si>
    <t>COMUNE DI CASTEL CASTAGNA</t>
  </si>
  <si>
    <t>CF 80006810677</t>
  </si>
  <si>
    <t>CONTRIBUTO AUTONOMA SISTEMAZIONE (AGOSTO 2014 - MARZO 2016 )</t>
  </si>
  <si>
    <t>COMUNE DI SULMONA</t>
  </si>
  <si>
    <t>CF 00181820663</t>
  </si>
  <si>
    <t>CONTRIBUTO AUTONOMA SISTEMAZIONE (GENNAIO - NOVEMBRE 2018)</t>
  </si>
  <si>
    <t>COMUNE DI MONTEREALE</t>
  </si>
  <si>
    <t>CF 00096510664</t>
  </si>
  <si>
    <t>RENDICONTAZIONE TRASLOCO E DEPOSITO TEMPORANEO DEL MOBILIO (MARZO E LUGLIO 2018)</t>
  </si>
  <si>
    <t>CODFIN CIPE 78a1c1</t>
  </si>
  <si>
    <t>RENDICONTAZIONE TRASLOCO E DEPOSITO TEMPORANEO DEL MOBILIO (FEBBRAIO, APRILE, GIUGNO E SETTEMBRE 2018)</t>
  </si>
  <si>
    <t>CODFIN CIPE 78a1c1 E CIPE 114a1c1b</t>
  </si>
  <si>
    <t>RENDICONTAZIONE TRASLOCO E DEPOSITO TEMPORANEO DEL MOBILIO (OTTOBRE 2017)</t>
  </si>
  <si>
    <t>CODFIN CIPE 114a1c1b</t>
  </si>
  <si>
    <t>COMUNE DI PIZZOLI</t>
  </si>
  <si>
    <t>CF 80007080668</t>
  </si>
  <si>
    <t>RENDICONTAZIONE TRASLOCO E DEPOSITO TEMPORANEO DEL MOBILIO (OTTOBRE 2018-NOVEMBRE 2018)</t>
  </si>
  <si>
    <t>RENDICONTAZIONE TRASLOCO E DEPOSITO TEMPORANEO DEL MOBILIO (AGOSTO 2018)</t>
  </si>
  <si>
    <t>RENDICONTAZIONE TRASLOCO E DEPOSITO TEMPORANEO DEL MOBILIO (GENNAIO E LUGLIO 2018)</t>
  </si>
  <si>
    <t>RENDICONTAZIONE TRASLOCO E DEPOSITO TEMPORANEO DEL MOBILIO (APRILE - OTTOBRE 2018)</t>
  </si>
  <si>
    <t>COMUNE DI POGGIO PICENZE</t>
  </si>
  <si>
    <t>CF 00210400669</t>
  </si>
  <si>
    <t>RENDICONTAZIONE TRASLOCO E DEPOSITO TEMPORANEO DEL MOBILIO (SETTEMBRE 2018)</t>
  </si>
  <si>
    <t>RENDICONTAZIONE TRASLOCO E DEPOSITO TEMPORANEO DEL MOBILIO (GENNAIO - SETTEMBRE 2018)</t>
  </si>
  <si>
    <t>COMUNE DI ROCCA DI MEZZO</t>
  </si>
  <si>
    <t>CF 80005730660</t>
  </si>
  <si>
    <t>RENDICONTAZIONE TRASLOCO E DEPOSITO TEMPORANEO DEL MOBILIO (FEBBRAIO 2018)</t>
  </si>
  <si>
    <t>RENDICONTAZIONE TRASLOCO E DEPOSITO TEMPORANEO DEL MOBILIO (MAGGIO 2018)</t>
  </si>
  <si>
    <t>RENDICONTAZIONE TRASLOCO E DEPOSITO TEMPORANEO DEL MOBILIO (DICEMBRE 2017 E OTTOBRE 2018)</t>
  </si>
  <si>
    <t>RENDICONTAZIONE TRASLOCO E DEPOSITO TEMPORANEO DEL MOBILIO (PERIODO 2017-2018 )</t>
  </si>
  <si>
    <t>COMUNE DI OVINDOLI</t>
  </si>
  <si>
    <t>CF 00097320667</t>
  </si>
  <si>
    <t>RENDICONTAZIONE TRASLOCO E DEPOSITO TEMPORANEO DEL MOBILIO (APRILE - MAGGIO 2018)</t>
  </si>
  <si>
    <t>RENDICONTAZIONE TRASLOCO E DEPOSITO TEMPORANEO DEL MOBILIO (AGOSTO - OTTOBRE 2016, DICEMBRE 2016, GENNAIO, MAGGIO E DICEMBRE 2017 )</t>
  </si>
  <si>
    <t>RENDICONTAZIONE TRASLOCO E DEPOSITO TEMPORANEO DEL MOBILIO (MAGGIO E GIUGNO 2018 )</t>
  </si>
  <si>
    <t>intervento di riparazione dei danni causati dal terremoto del 2009 presso il cimitero del capoluogo, 2° stralcio - Comune di Montorio al Vomano. Erogazione acconto incentivi di cui all’art. 113 del D. Lgs. 18/04/2016 n. 50</t>
  </si>
  <si>
    <t>COMUNE DI COLLARMELE</t>
  </si>
  <si>
    <t>CF 00212670665</t>
  </si>
  <si>
    <t>intervento di adeguamento miglioramento della cappella cimiteriale € 300.000,00 - Comune di Collarmele. Erogazione SAL 3</t>
  </si>
  <si>
    <t>intervento di manutenzione straordinaria MAP siti nelle frazioni di Molino Salomone e Colle San Vito - Comune di Tornimparte (AQ). Assegnazione e trasferimento del finanziamento richiesto</t>
  </si>
  <si>
    <t>lavori di manutenzione straordinaria per il ripristino dell’agibilità da eseguirsi nei MAP 1 4 21 24 33 siti in Sant’Eusanio Forconese, villaggio MAP via del Colle, c.d. Capoluogo 1 e nei MAP 1, 2, 8 e 9 siti nella fraz. di Casentino. Liquidazione somme primo SAL e SAL Finale</t>
  </si>
  <si>
    <t>manutenzione alloggi MAP 36 29 12 in località Cardamone. Rendicontazione interventi già effettuati - Comune di San Demetrio ne’ Vestini (AQ). Trasferimento somme a saldo</t>
  </si>
  <si>
    <t>intervento di messa in sicurezza post sisma sui muri di contenimento. Comune di Carapelle Calvisio. Erogazione SAL 1 e spese tecniche</t>
  </si>
  <si>
    <t>TRASFERIMENTO RISORSE FINALIZZATE ALLA RICOSTRUZIONE PRIVATA - Delibera CIPE 58/2017 – Comune di FAGNANO ALTO (AQ) Rif. Richiesta Comune Prot. n. 2831 del 20/11/2018, sostituita da Prot. n. 160 del 15/01/2019</t>
  </si>
  <si>
    <t>Assegnazione e erogazione fondi per rimborso interventi eseguiti relativi al "Progetto di Videosorveglianza dei Comuni del cratere ” - Scoppito (Aq)</t>
  </si>
  <si>
    <t>Erogazione fondi a favore del Comune di Fossa per liquidazione compensi accessori personale a tempo determinato in servizio presso l'Ufficio Speciale per la Ricostruzione dei Comuni del Cratere (ex art.46- quinquies LEGGE 21 giugno 2017, n.96. Periodo: novembre-dicembre 2018. Gennaio-marzo 2019).</t>
  </si>
  <si>
    <t>CODFIN CIPE69a1c2</t>
  </si>
  <si>
    <t>COMUNE DI COLLECORVINO</t>
  </si>
  <si>
    <t>CF 00137880688</t>
  </si>
  <si>
    <t>TRASFERIMENTO RISORSE FINALIZZATE ALLA RICOSTRUZIONE PRIVATA FUORI CRATERE - Delibera CIPE 22/2015 – Comune di COLLECORVINO (PE)</t>
  </si>
  <si>
    <t>COMUNE DI CATIGNANO</t>
  </si>
  <si>
    <t>CF 80001570680</t>
  </si>
  <si>
    <t>scuola elementare e media G. Pascoli delocalizzata in Via Madonna delle Grazie - Comune di Catignano (PE). CUP: I24B13000270004 - PROTOCOLLO NORMALIZZATO PE-CTG-OOPP-04644. Rendicontazione seconda rata e trasferimento rata finale.</t>
  </si>
  <si>
    <t>Personale a tempo determinato art.67-ter, comma 3 D.L.83/2014 convertito con L.134/2014 - Provvedimenti di copertura economica dei contratti in essere (annualità2019) e della proroga dei medesimi ex legge 4 dicembre 2017, n.172, di conversione del decreto legge n.148 del 16 ottobre 2017</t>
  </si>
  <si>
    <t>CODFIN CIPE69a1c2 CIPE 135a1c1</t>
  </si>
  <si>
    <t>lavori di rimozione macerie per la messa in sicurezza dell’aggregato in via Colombo Andreassi - Comune di Villa Sant’Angelo (AQ). Liquidazione saldo competenze tecniche RUP.</t>
  </si>
  <si>
    <t>COMUNE DI AVEZZANO</t>
  </si>
  <si>
    <t>CF 81002910669</t>
  </si>
  <si>
    <t>scuola elementare San Simeo - Comune di Avezzano (AQ). CUP: J34B14000050001 - PROTOCOLLO NORMALIZZATO AQ-AVZ-OOPP-01379. Rendicontazione anticipazione seconda rata e trasferimento saldo a valere sulla seconda rata</t>
  </si>
  <si>
    <t>TRASFERIMENTO RISORSE FINALIZZATE ALLA RICOSTRUZIONE PRIVATA FUORI CRATERE - Delibera CIPE 22/2015 – Comune di SULMONA (AQ)</t>
  </si>
  <si>
    <t>COMUNE DI BISENTI</t>
  </si>
  <si>
    <t>CF 00195310677</t>
  </si>
  <si>
    <t>TRASFERIMENTO RISORSE FINALIZZATE ALLA RICOSTRUZIONE PRIVATA FUORI CRATERE - Delibera CIPE 22/2015 – Comune di BISENTI (TE)</t>
  </si>
  <si>
    <t>TRASFERIMENTO RISORSE FINALIZZATE ALLA RICOSTRUZIONE PRIVATA FUORI CRATERE - Delibera CIPE 135/2012 e Delibera CIPE 50/2013 – Comune di CATIGNANO (PE)</t>
  </si>
  <si>
    <t>CODFIN CIPE22art1co2 CIPE135art.1</t>
  </si>
  <si>
    <t>COMUNE DI CORTINO</t>
  </si>
  <si>
    <t>CF 80004350676</t>
  </si>
  <si>
    <t>TRASFERIMENTO RISORSE FINALIZZATE ALLA RICOSTRUZIONE PRIVATA FUORI CRATERE - Delibera CIPE 22/2015 – Comune di CORTINO (TE)</t>
  </si>
  <si>
    <t>COMUNE DI CORFINIO</t>
  </si>
  <si>
    <t>CF 83000590667</t>
  </si>
  <si>
    <t>TRASFERIMENTO RISORSE FINALIZZATE ALLA RICOSTRUZIONE PRIVATA FUORI CRATERE - Delibera CIPE 22/2015 – Comune di CORFINIO (AQ)</t>
  </si>
  <si>
    <t>COMUNE DI SAN DEMETRIO NE VESTINI</t>
  </si>
  <si>
    <t>TRASFERIMENTO RISORSE FINALIZZATE ALLA RICOSTRUZIONE PRIVATA - Delibera CIPE 58/2017 – Comune di SAN DEMETRIO NE’ VESTINI (AQ) Rif. Richiesta Comune Prot. n. 5716 del 17/12/2018</t>
  </si>
  <si>
    <t>COMUNE DI MONTEBELLO DI BERTONA</t>
  </si>
  <si>
    <t>CF 80001270687</t>
  </si>
  <si>
    <t>TRASFERIMENTO RISORSE FINALIZZATE ALLA RICOSTRUZIONE PRIVATA - Delibera CIPE 58/2017 – Comune di MONTEBELLO DI BERTONA (PE) Rif. Richiesta Comune Prot. n. 3742 del 13/11/2018 integrata con Prot. 137 del 5/02/2019</t>
  </si>
  <si>
    <t>TRASFERIMENTO RISORSE FINALIZZATE ALLA RICOSTRUZIONE PRIVATA - Delibera CIPE 58/2017, CIPE 135/2012– Comune di SANT’EUSANIO FORCONESE (AQ) Rif. Richiesta Comune Prot. n. 152 del 17/01/2018 sostituito con Prot. n. 342 del 06/02/2019</t>
  </si>
  <si>
    <t>CODFIN CIPE135art1co2</t>
  </si>
  <si>
    <t>TRASFERIMENTO RISORSE FINALIZZATE ALLA RICOSTRUZIONE PRIVATA - Delibera CIPE 135/2012– Comune di ROCCA DI MEZZO (AQ) Rif. Richiesta Comune Prot. n. 546 del 17/01/2018</t>
  </si>
  <si>
    <t>intervento definitivo di messa in sicurezza del muro di sostegno sito in via Marinacci - Comune di Collarmele (AQ). Trasferimento risorse relativo al SAL 2, spese tecniche e collaudo. Presa d’atto lavori imprevisti</t>
  </si>
  <si>
    <t>COMUNE DI CIVITELLA CASANOVA</t>
  </si>
  <si>
    <t>CF 00228640686</t>
  </si>
  <si>
    <t>scuola media “B. Croce” - Comune di Civitella Casanova (PE). CUP: B61E14000090001 - PROTOCOLLO NORMALIZZATO PE-CVC-OOPP-01439. Approvazione della spesa del progetto definitivo-esecutivo e primo trasferimento</t>
  </si>
  <si>
    <t>scuola elementare Don Bosco - Comune di Avezzano (AQ). CUP: J31E14000420001 - PROTOCOLLO NORMALIZZATO AQ-AVZ-OOPP-04804. Rendicontazione prima rata e trasferimento seconda rata</t>
  </si>
  <si>
    <t>PROVINCIA DI TERAMO</t>
  </si>
  <si>
    <t>CF 80001070673</t>
  </si>
  <si>
    <t>istituto V. Comi di Teramo - Provincia di Teramo (TE). CUP: E44H14000020001 - PROTOCOLLO NORMALIZZATO TE-PROVTE-OOPP-04681. Presa d’atto della perizia di variante e contestuale trasferimento somme ad integrazione della II rata di acconto</t>
  </si>
  <si>
    <t>lavori di messa in sicurezza edificio denominato “il borgo” di Arsita (TE). Liquidazione spese tecniche</t>
  </si>
  <si>
    <t>COMUNE DI CAPITIGNANO</t>
  </si>
  <si>
    <t>CF 00164280661</t>
  </si>
  <si>
    <t>realizzazione nuovo edificio scolastico. Comune di Capitignano. Erogazione competenze tecniche collaudo strutturale a valere su delibera CIPE 135/2012 e CIPE 47/2009</t>
  </si>
  <si>
    <t>COMUNE DI OCRE</t>
  </si>
  <si>
    <t>CF 80002850669</t>
  </si>
  <si>
    <t>lavori di riparazione dell’immobile comunale ex scuola di Valle / ambulatorio medico danneggiato dal sisma del 06/04/2009 - Completamento. Comune di Ocre. Liquidazione oneri di cui all’art. 113 D. Lgs. 50/2016</t>
  </si>
  <si>
    <t>Lavori di messa in sicurezza con opere di riparazione e miglioramento sismico a seguito del sisma della Chiesa di San Paolo in Barete - Comune di Barete (AQ). Liquidazione primo SAL</t>
  </si>
  <si>
    <t>TRASFERIMENTO RISORSE FINALIZZATE ALLA RICOSTRUZIONE PRIVATA - Delibera CIPE 135/2012 – Comune di MONTORIO AL VOMANO (TE) Rif. Richiesta Comune Prot. n. 17688 del 24/12/2018</t>
  </si>
  <si>
    <t>TRASFERIMENTO RISORSE FINALIZZATE ALLA RICOSTRUZIONE PRIVATA - Delibera CIPE 135/2012 – Comune di CASTELVECCHIO SUBEQUO (AQ) Rif. Richiesta Comune Prot. n. 590 del 13/02/2019</t>
  </si>
  <si>
    <t>scuola materna in via De Gasperi - Comune di Avezzano (AQ). CUP: J37B170000700 - PROTOCOLLO NORMALIZZATO AQ-AVZ-OOPP-04807. Rendicontazione prima rata e trasferimento seconda rata</t>
  </si>
  <si>
    <t>lavori di rimozione macerie per la messa in sicurezza dell’aggregato in via Colombo Andreassi - Comune di Villa Sant’Angelo (AQ). Liquidazione saldo consulenza e supporto</t>
  </si>
  <si>
    <t>COMUNE DI FARINDOLA</t>
  </si>
  <si>
    <t>CF 00231350687</t>
  </si>
  <si>
    <t>TRASFERIMENTO RISORSE FINALIZZATE ALLA RICOSTRUZIONE PRIVATA FUORI CRATERE - Delibera CIPE 22/2015 – Comune di FARINDOLA (PE)</t>
  </si>
  <si>
    <t>COMUNE DI ISOLA DEL GRAN SASSO D'ITALIA</t>
  </si>
  <si>
    <t>CF 80003790674</t>
  </si>
  <si>
    <t>TRASFERIMENTO RISORSE FINALIZZATE ALLA RICOSTRUZIONE PRIVATA FUORI CRATERE - Delibera CIPE 22/2015 – Comune di ISOLA DEL GRAN SASSO D'ITALIA (TE)</t>
  </si>
  <si>
    <t>COMUNE DI CIVITAQUANA</t>
  </si>
  <si>
    <t>CF 80001190687</t>
  </si>
  <si>
    <t>TRASFERIMENTO RISORSE FINALIZZATE ALLA RICOSTRUZIONE PRIVATA FUORI CRATERE - Delibera CIPE 22/2015 – Comune di CIVITAQUANA (PE)</t>
  </si>
  <si>
    <t>COMUNE DI TORTORETO</t>
  </si>
  <si>
    <t>CF 00173630674</t>
  </si>
  <si>
    <t>TRASFERIMENTO RISORSE FINALIZZATE ALLA RICOSTRUZIONE PRIVATA FUORI CRATERE - Delibera CIPE 58/2017 Delibera 113/2015 – Comune di TORTORETO (TE)</t>
  </si>
  <si>
    <t>COMUNE DI CITTA' SANT'ANGELO</t>
  </si>
  <si>
    <t>CF ‎00063640684</t>
  </si>
  <si>
    <t>TRASFERIMENTO RISORSE FINALIZZATE ALLA RICOSTRUZIONE PRIVATA FUORI CRATERE - Delibera CIPE 22/2015 – Comune di CITTA' SANT'ANGELO (PE)</t>
  </si>
  <si>
    <t>TRASFERIMENTO RISORSE FINALIZZATE ALLA RICOSTRUZIONE PRIVATA FUORI CRATERE - Delibera CIPE 22/2015 – Comune di RAIANO (AQ)</t>
  </si>
  <si>
    <t>RENDICONTAZIONE TRASLOCO E DEPOSITO TEMPORANEO DEL MOBILIO (NOVEMBRE 2018)</t>
  </si>
  <si>
    <t>RENDICONTAZIONE TRASLOCO E DEPOSITO TEMPORANEO DEL MOBILIO (OTTOBRE-NOVEMBRE 2018)</t>
  </si>
  <si>
    <t>RENDICONTAZIONE TRASLOCO E DEPOSITO TEMPORANEO DEL MOBILIO (MARZO E GIUGNO 2018, NOVEMBRE 2018)</t>
  </si>
  <si>
    <t>RENDICONTAZIONE TRASLOCO E DEPOSITO TEMPORANEO DEL MOBILIO (DICEMBRE 2018)</t>
  </si>
  <si>
    <t>RENDICONTAZIONE TRASLOCO E DEPOSITO TEMPORANEO DEL MOBILIO (GIUGNO 2018)</t>
  </si>
  <si>
    <t>RENDICONTAZIONE TRASLOCO E DEPOSITO TEMPORANEO DEL MOBILIO (2015-2016-2017-2018)</t>
  </si>
  <si>
    <t>RENDICONTAZIONE TRASLOCO E DEPOSITO TEMPORANEO DEL MOBILIO (NOVEMBRE - DICEMBRE 2018)</t>
  </si>
  <si>
    <t>RENDICONTAZIONE TRASLOCO E DEPOSITO TEMPORANEO DEL MOBILIO (GIUGNO E OTTOBRE 2018)</t>
  </si>
  <si>
    <t>RENDICONTAZIONE TRASLOCO E DEPOSITO TEMPORANEO DEL MOBILIO (OTTOBRE 2018)</t>
  </si>
  <si>
    <t>lavori di manutenzione MAP del Comune di Santo Stefano di Sessanio. Erogazione SAL 1</t>
  </si>
  <si>
    <t>lavori di miglioramento sismico ala Nord Complesso Scolastico “G. Paolini” da adibire a sede comunale - Comune di Popoli (PE). Liquidazione SAL 5</t>
  </si>
  <si>
    <t>Lavori di messa in sicurezza con opere di riparazione e miglioramento sismico a seguito del sisma della Chiesa di San Paolo in Barete - Comune di Barete (AQ). Saldo somme a disposizione relative al trasferimento del SAL 1</t>
  </si>
  <si>
    <t>ASM Spa</t>
  </si>
  <si>
    <t>PI 01413740661</t>
  </si>
  <si>
    <t>trattamento macerie pubbliche nella fraz. di Castelnuovo - Comune di San Pio delle Camere (AQ). Conferimenti 18/09/2018 - 05/12/2018 presso sito ex TEGES in località Pontignone. Erogazione fondi a ASM Spa per il trattamento delle macerie pubbliche ex art. 1 co. 444 L. 190/2014, Convenzione rep./conv. 02 del 10/10/2016</t>
  </si>
  <si>
    <t>CODFIN CIPE78a1co1</t>
  </si>
  <si>
    <t>COMUNE DI FANO ADRIANO</t>
  </si>
  <si>
    <t>CF 92001400677</t>
  </si>
  <si>
    <t>lavori di restauro muro monumentale ed opere accessorie in centro storico a seguito del sisma del 06/04/2009 - Comune di Fano Adriano. Trasferimento saldo competenze tecniche per redazione consuntivo tecnico scientifico</t>
  </si>
  <si>
    <t>intervento di ripristino e adeguamento sottoservizi esistenti in via colle saraceno - lotto 1 - Comune di Villa Sant’Angelo (AQ). Liquidazione somme SAL 1</t>
  </si>
  <si>
    <t>intervento di ripristino dell’accessibilità e della fruibilità degli spazi pubblici e delle pubbliche vie. Comune di Prata d’Ansidonia. LOTTO 3 (S2). Liquidazione somme per fondo incentivante</t>
  </si>
  <si>
    <t>lavoro di ripristino aree cimiteriali danneggiate dagli eventi sismici del 06/04/2009 - Comune di Sant’Eusanio Forconese (AQ). Liquidazione somme SAL 1 e SAL 2</t>
  </si>
  <si>
    <t>TRASFERIMENTO RISORSE FINALIZZATE ALLA RICOSTRUZIONE PRIVATA - Delibera CIPE 135/2012 – Comune di FOSSA (AQ) Rif. Richiesta Comune Prot. n. 2541 del 12/09/2018 cosi come sostituita da Prot. n. 399 del 06/02/2019</t>
  </si>
  <si>
    <t>TRASFERIMENTO RISORSE FINALIZZATE ALLA RICOSTRUZIONE PRIVATA - Delibera CIPE 135/2012 – Comune di CAPORCIANO (AQ) Rif. Richiesta Comune Prot. n. 327 del 28/01/2019 cosi come sostituita da Prot. n. 671 del 05/03/2019</t>
  </si>
  <si>
    <t>TRASFERIMENTO RISORSE FINALIZZATE ALLA RICOSTRUZIONE PRIVATA - Delibera CIPE 135/2012 – Comune di ACCIANO (AQ) Rif. Richiesta Comune Prot. n. 534 del 20/02/2019</t>
  </si>
  <si>
    <t>COMUNE DI TORANO NUOVO</t>
  </si>
  <si>
    <t>CF 00413580671</t>
  </si>
  <si>
    <t>TRASFERIMENTO RISORSE FINALIZZATE ALLA RICOSTRUZIONE PRIVATA FUORI CRATERE - Delibera CIPE 58/2017 – Comune di TORANO NUOVO (TE)</t>
  </si>
  <si>
    <t>CODFIN CIPE22art1</t>
  </si>
  <si>
    <t>TRASFERIMENTO RISORSE FINALIZZATE ALLA RICOSTRUZIONE PRIVATA - Delibera CIPE 135/2012 – Comune di CAPESTRANO (AQ) Rif. Richiesta Comune Prot. n. 283 del 31/01/2019.</t>
  </si>
  <si>
    <t>lavori di riparazione interventi di manutenzione immobili EEP in via colle Quinzio - Comune di Civitella Casanova (PE). Erogazione acconto 20%</t>
  </si>
  <si>
    <t>interventi per l’accessibilità e la fruibilità delle strutture cimiteriali - loculario e muri perimetrali. Comune di Cocullo (AQ). Erogazione somme per collaudo strutturale e RUP</t>
  </si>
  <si>
    <t>Assegnazione e erogazione fondi per rimborso interventi eseguiti relativi al "Progetto di Videosorveglianza dei comuni del cratere ” - Civitella Casanova (PE)</t>
  </si>
  <si>
    <t>Assegnazione e erogazione fondi per rimborso interventi eseguiti relativi al "Progetto di Videosorveglianza dei comuni del cratere ” - Tossicia (TE)</t>
  </si>
  <si>
    <t>lavori di demolizione e ricostruzione sede comunale - Comune di Pio delle Camere (AQ). Erogazione SAL 3, spese tecniche e supporto al RUP</t>
  </si>
  <si>
    <t>demolizione dell’edificio sede comunale - Comune di San Demetrio ne’ Vestini. Trasferimento somme relative al saldo delle competenze tecniche del lotto I</t>
  </si>
  <si>
    <t>CODFIN CIPE78art1c1</t>
  </si>
  <si>
    <t>intervento di messa in sicurezza di un fabbricato danneggiato dal sisma del 06/04/2009 identificato al fg. 4 NCEU mappale 108 in via Colombo Andreassi - Comune di Villa Sant’Angelo. Liquidazione Somme SAL 1, Spese Tecniche e art. 113 D. Lgs. 50/2016. Autorizzazione utilizzo economie per interventi aggiuntivi di cui all’ordinanza sindacale 7 del 13/03/2019</t>
  </si>
  <si>
    <t>CODFIN CIPE78art1co2</t>
  </si>
  <si>
    <t>TRASFERIMENTO RISORSE FINALIZZATE ALLA RICOSTRUZIONE PRIVATA - Delibera CIPE 135/2012 – Comune di CUGNOLI (PE) Rif. Richiesta Comune Prot. n. 779 del 08/02/2019.</t>
  </si>
  <si>
    <t>TRASFERIMENTO RISORSE FINALIZZATE ALLA RICOSTRUZIONE PRIVATA - Delibera CIPE 135/2012 – Comune di PIZZOLI (AQ) Rif. Richiesta Comune Prot. n. 1658 del 04/02/2019.</t>
  </si>
  <si>
    <t>Scuola elementare e Media F. Rossi CUP J31E1500010000 - PROTOCOLLO NORMALIZZATO AQ-SDV-OOPP-04501. Erogazione fondi per SAL 1 a valere sullo stanziamento della deliberazione CIPE 135/2012 e della deliberazione CIPE 47/2009</t>
  </si>
  <si>
    <t>COMUNE DI VITTORITO</t>
  </si>
  <si>
    <t>CF 83000790663</t>
  </si>
  <si>
    <t>Erogazione fondi contributo autonoma sistemazione periodo 01.01.2016 - 31.12.2016 e 01.01.2017 - 30.04.2017 Comune di Vittorito.</t>
  </si>
  <si>
    <t>CODFIN CIPE114art1c1b</t>
  </si>
  <si>
    <t>Assegnazione e erogazione fondi per il finanziamento del "Safe Community - Progetto di videosorveglianza integrata dei comuni del cratere sismico" e erogazione acconto - Brittoli (Pe)</t>
  </si>
  <si>
    <t>intervento di puntellamento e messa in sicurezza del municipio di Barisciano. Comune di Barisciano. Assegnazione fondi e liquidazione somme a seguito di sentenza RG n. 710 del Tribunale Ordinario di L’Aquila</t>
  </si>
  <si>
    <t>Intervento di risanamento idrogeologico e mitigazione del rischio in aree R4 e R3 del vigente Piano di Assetto Idrogeologico (PAI)” Primo Lotto Funzionale - Comune di San Pio delle Camere (AQ) – Erogazione somme acconto spese tecniche</t>
  </si>
  <si>
    <t>I.T.C. C. Rosa del Comune di Nereto (TE) - Provincia di Teramo. CUP: E34H14000010001 - PROTOCOLLO NORMALIZZATO TE-PROVTE-OOPP-04684. Rendicontazione prima rata e trasferimento seconda rata.</t>
  </si>
  <si>
    <t>COMUNE DI CANZANO</t>
  </si>
  <si>
    <t>CF 80004810679</t>
  </si>
  <si>
    <t>TRASFERIMENTO RISORSE FINALIZZATE ALLA RICOSTRUZIONE PRIVATA FUORI CRATERE - Delibera CIPE 22/2015 – Comune di CANZANO (TE)</t>
  </si>
  <si>
    <t>COMUNE DI SANT'EUFEMIA A MAIELLA</t>
  </si>
  <si>
    <t>CF 81000470682</t>
  </si>
  <si>
    <t>TRASFERIMENTO RISORSE FINALIZZATE ALLA RICOSTRUZIONE PRIVATA FUORI CRATERE - Delibera CIPE 22/2015 – Comune di SANT'EUFEMIA A MAIELLA (PE)</t>
  </si>
  <si>
    <t>TRASFERIMENTO RISORSE FINALIZZATE ALLA RICOSTRUZIONE PRIVATA - Delibera CIPE 135/2012 – Comune di POPOLI (PE) Rif. Richiesta Comune Prot. n. 3576 del 07/03/2019</t>
  </si>
  <si>
    <t>COMUNE DI BISEGNA</t>
  </si>
  <si>
    <t>CF 00213000664</t>
  </si>
  <si>
    <t>TRASFERIMENTO RISORSE FINALIZZATE ALLA RICOSTRUZIONE PRIVATA FUORI CRATERE - Delibera CIPE 22/2015 – Comune di BISEGNA (AQ)</t>
  </si>
  <si>
    <t>messa in sicurezza di carattere definitivo immobile aggettante su area pubblica recante interdizione al transito via S. Antonio 22 28, località Aia Grande, Via Vittorito. Comune di Raiano. Acquisizione del progetto esecutivo ed erogazione somme a saldo intervento in via S. Antonio</t>
  </si>
  <si>
    <t>COMUNE DI ANVERSA DEGLI ABRUZZI</t>
  </si>
  <si>
    <t>CF 00161690664</t>
  </si>
  <si>
    <t>TRASFERIMENTO RISORSE FINALIZZATE ALLA RICOSTRUZIONE PRIVATA FUORI CRATERE - Delibera CIPE 22/2015 – Comune di ANVERSA DEGLI ABRUZZI (AQ)</t>
  </si>
  <si>
    <t>attivazione prima fase del PDR di Castelnuovo relativamente alla problematica delle prove geologiche e geofisiche e la progettazione preliminare delle opere di messa in sicurezza dei grottoni - Comune di San Pio delle Camere (AQ) – Erogazione SAL Finale S2R</t>
  </si>
  <si>
    <t>intervento di ristrutturazione del complesso cimiteriale della Chiesa di Santa Maria in Cerulis a Navelli Capoluogo - Comune di Navelli (AQ). Liquidazione somme al SAL 1</t>
  </si>
  <si>
    <t>progetto di recupero ambientale ex cava comunale con prodotti provenienti dalla demolizioni dei fabbricati dell’area del cratere della Regione Abruzzo danneggiata dal sisma del 6 aprile 2009 - Comune di San Pio delle Camere (AQ) – Erogazione spese per la progettazione definitiva/esecutiva dell’area della ex cava</t>
  </si>
  <si>
    <t>campagna indagini geotecniche, geologiche e geofisiche propedeutiche alla messa in sicurezza delle cavita' sotterranee di Castelnuovo - Comune di San Pio delle Camere (AQ). Liquidazione somme SAL Finale indagini integrative</t>
  </si>
  <si>
    <t>lavori di riparazione e adeguamento del loculario danneggiato dal sisma nel cimitero di del comune di Scoppito. Prima Fase, lavori di realizzazione di due loculari denominati gruppo 11 e gruppo 12. Liquidazione Secondo SAL</t>
  </si>
  <si>
    <t>COMUNE DI CALASCIO</t>
  </si>
  <si>
    <t>CF 80007890660</t>
  </si>
  <si>
    <t>TRASFERIMENTO RISORSE FINALIZZATE ALLA RICOSTRUZIONE PRIVATA FUORI CRATERE - Delibera CIPE 22/2015 – Comune di CALASCIO (AQ)</t>
  </si>
  <si>
    <t>intervento di consolidamento versante nord - loc. Silvestre - Comune di Montebello di Bertona. Liquidazione SAL 1</t>
  </si>
  <si>
    <t>TRASFERIMENTO RISORSE FINALIZZATE ALLA RICOSTRUZIONE PRIVATA - Delibera CIPE 135/2012 – Comune di OCRE (AQ) Rif. Richiesta Comune Prot. n. 440 del 25/02/2019.</t>
  </si>
  <si>
    <t>COMUNE DI SAN BENEDETTO IN PERILLIS</t>
  </si>
  <si>
    <t>CF 00219500667</t>
  </si>
  <si>
    <t>TRASFERIMENTO RISORSE FINALIZZATE ALLA RICOSTRUZIONE PRIVATA FUORI CRATERE - Delibera 135/2012 e Delibera CIPE 22/2015 – Comune di SAN BENEDETTO IN PERILLIS (AQ)</t>
  </si>
  <si>
    <t>CODFIN CIPE135art1co2 CIPE22art1</t>
  </si>
  <si>
    <t>TRASFERIMENTO RISORSE FINALIZZATE ALLA RICOSTRUZIONE PRIVATA - Delibera CIPE 135/2012 – Comune di SCOPPITO (AQ) Rif. Richiesta Comune Prot. n. 1171 del 07/03/2019 sostituita da prot. n. 1659 del 04/04/2019</t>
  </si>
  <si>
    <t>TRASFERIMENTO RISORSE FINALIZZATE ALLA RICOSTRUZIONE PRIVATA - Delibera CIPE 135/2012 – Comune di CASTEL DI IERI (AQ) Rif. Richiesta Comune Prot. n. 362 del 05/03/2019</t>
  </si>
  <si>
    <t>COMUNE DI BELLANTE</t>
  </si>
  <si>
    <t>CF 00212050678</t>
  </si>
  <si>
    <t>TRASFERIMENTO RISORSE FINALIZZATE ALLA RICOSTRUZIONE PRIVATA FUORI CRATERE - Delibera CIPE 22/2015 – Comune di BELLANTE (TE)</t>
  </si>
  <si>
    <t>progetto di riparazione plessi cimiteriali comunali. Comune di Lucoli. Liquidazione spese tecniche al SAL 3</t>
  </si>
  <si>
    <t>Edificio scolastico infanzia e nido - Comune di Castelvecchio Subequo. CUP: H19E14000240001 - PROTOCOLLO NORMALIZZATO AQ-CSS-OOPP-01269. Rendicontazione stato finale e ultimo trasferimento</t>
  </si>
  <si>
    <t>lavori di messa in sicurezza della sede stradale e del campo da gioco polivalente in corrispondenza della viabilità di accesso all’area MAP Ovest della frazione di Castelnuovo - Comune di San Pio delle Camere. Liquidazione somme SAL Finale e spese tecniche</t>
  </si>
  <si>
    <t>COMUNE DI TIONE DEGLI ABRUZZI</t>
  </si>
  <si>
    <t>lavori di riparazione e mitigazione del rischio sismico dell’edificio sede comunale - Comune di Tione degli Abruzzi (AQ). Liquidazione acconto spese di progettazione</t>
  </si>
  <si>
    <t>lavori di recupero di Palazzo Alesi. Comune di Bugnara. Trasferimento somme al SAL 6</t>
  </si>
  <si>
    <t>intervento di adeguamento strutturale e ristrutturazione della casa comunale - Comune di Civitella Casanova (PE). Erogazione SAL 4 e spese generali</t>
  </si>
  <si>
    <t>ristrutturazione dell’edificio dell’ex scuola Lola Di Stefano - Comune di Bussi sul Tirino (PE). Trasferimento saldo somme a disposizione documentate al terzo SAL</t>
  </si>
  <si>
    <t>lavori di recupero e ristrutturazione dell’edificio ex scuola elementare “L. Volpicelli” da destinare a nuova sede comunale - Comune di San Demetrio ne’ Vestini (AQ). Liquidazione somme SAL 7 e competenze tecniche</t>
  </si>
  <si>
    <t>CONTRIBUTO AUTONOMA SISTEMAZIONE (SETTEMBRE-DICEMBRE 2018)</t>
  </si>
  <si>
    <t>CONTRIBUTO AUTONOMA SISTEMAZIONE (AGOSTO-NOVEMBRE 2018)</t>
  </si>
  <si>
    <t>CONTRIBUTO AUTONOMA SISTEMAZIONE (DICEMBRE 2017-SETTEMBRE 2018)</t>
  </si>
  <si>
    <t>CONTRIBUTO AUTONOMA SISTEMAZIONE (SETTEMBRE-NOVEMBRE 2018)</t>
  </si>
  <si>
    <t>CONTRIBUTO AUTONOMA SISTEMAZIONE (MAGGIO-DICEMBRE 2018)</t>
  </si>
  <si>
    <t>CONTRIBUTO AUTONOMA SISTEMAZIONE (GENNAIO-SETTEMBRE 2018)</t>
  </si>
  <si>
    <t>CONTRIBUTO AUTONOMA SISTEMAZIONE (OTTOBRE -DICEMBRE 2018)</t>
  </si>
  <si>
    <t>TRASFERIMENTO RISORSE FINALIZZATE ALLA RICOSTRUZIONE PRIVATA - Delibera CIPE 135/2012 – Comune di VILLA SANT'ANGELO (AQ) Rif. Richiesta Comune Prot. n. 1024 del 10/04/2019.</t>
  </si>
  <si>
    <t>COMUNE DI CASTIGLIONE MESSER RAIMONDO</t>
  </si>
  <si>
    <t>CF 80003890672</t>
  </si>
  <si>
    <t>TRASFERIMENTO RISORSE FINALIZZATE ALLA RICOSTRUZIONE PRIVATA FUORI CRATERE - Delibera CIPE 22/2015 – Comune di CASTIGLIONE MESSER RAIMONDO (TE)</t>
  </si>
  <si>
    <t>TRASFERIMENTO RISORSE FINALIZZATE ALLA RICOSTRUZIONE PRIVATA FUORI CRATERE - Delibera CIPE 22/2015 – Comune di VITTORITO (AQ)</t>
  </si>
  <si>
    <t>COMUNE DI CONTROGUERRA</t>
  </si>
  <si>
    <t>CF 82001760675</t>
  </si>
  <si>
    <t>TRASFERIMENTO RISORSE FINALIZZATE ALLA RICOSTRUZIONE PRIVATA FUORI CRATERE - Delibera CIPE 58/2017 – Comune di CONTROGUERRA (TE)</t>
  </si>
  <si>
    <t>CODFIN CIPE58art2</t>
  </si>
  <si>
    <t>TRASFERIMENTO RISORSE FINALIZZATE ALLA RICOSTRUZIONE PRIVATA - Delibera CIPE 135/2012 – Comune di NAVELLI (AQ) Rif. Richiesta Comune Prot. n. 1232 del 29/03/2019</t>
  </si>
  <si>
    <t>CODFIN CIPE22art1co2let.d</t>
  </si>
  <si>
    <t>COMUNE DI BASCIANO</t>
  </si>
  <si>
    <t>CF 80002910679</t>
  </si>
  <si>
    <t>CONTRIBUTO AUTONOMA SISTEMAZIONE (FEBBRAIO-SETTEMBRE 2018 )</t>
  </si>
  <si>
    <t>CODFIN CIPE114a1c1b</t>
  </si>
  <si>
    <t>CONTRIBUTO AUTONOMA SISTEMAZIONE (GENNAIO-SETTEMBRE 2018 )</t>
  </si>
  <si>
    <t>COMUNE DI CASTIGLIONE A CASAURIA</t>
  </si>
  <si>
    <t>CF 81000190686</t>
  </si>
  <si>
    <t>CONTRIBUTO AUTONOMA SISTEMAZIONE (GENNAIO-LUGLIO 2018 )</t>
  </si>
  <si>
    <t>COMUNE DI CELANO</t>
  </si>
  <si>
    <t>CF 00094090669</t>
  </si>
  <si>
    <t>CONTRIBUTO AUTONOMA SISTEMAZIONE (GENNAIO - DICEMBRE 2017)</t>
  </si>
  <si>
    <t>COMUNE DI PIETRANICO</t>
  </si>
  <si>
    <t>CF 00221280688</t>
  </si>
  <si>
    <t>CONTRIBUTO AUTONOMA SISTEMAZIONE (FEBBRAIO-MAGGIO 2018)</t>
  </si>
  <si>
    <t>CONTRIBUTO AUTONOMA SISTEMAZIONE (DICEMBRE 2018)</t>
  </si>
  <si>
    <t>CONTRIBUTO AUTONOMA SISTEMAZIONE (GENNAIO - OTTOBRE 2018)</t>
  </si>
  <si>
    <t>CONTRIBUTO AUTONOMA SISTEMAZIONE (APRILE-OTTOBRE 2018)</t>
  </si>
  <si>
    <t>ATER di Chieti</t>
  </si>
  <si>
    <t>PI 00091910695</t>
  </si>
  <si>
    <t>interventi post sisma 2009 su immobili dell’ATER - Azienda Territoriale per l’Edilizia Residenziale di Chieti. Acquisizione rendicontazione somme trasferite con determinazione USRC 747 del 19/12/2016 ed erogazione fondi per interventi su progetto 360 “Lavori di riparazione dei danni prodotti dal terremoto del 06/04/2009 all’edificio posto in Via G. D'Annunzio n. 1, 3, 5, 7, 9, 11 e 13” e progetto 366 “Lavori di riparazione dei danni prodotti dal sisma del 06/04/2009 ai due edifici di complessivi n. 22 alloggi in Ortona (CH) alla Via Genova 1 e Via Pisa 2”</t>
  </si>
  <si>
    <t>CODFIN CIPE23art2c1</t>
  </si>
  <si>
    <t>COMUNE DI GAGLIANO ATERNO</t>
  </si>
  <si>
    <t>CF 00212360663</t>
  </si>
  <si>
    <t>TRASFERIMENTO RISORSE FINALIZZATE ALLA RICOSTRUZIONE PRIVATA - Delibera CIPE 22/2015 – Comune di GAGLIANO ATERNO (AQ) Rif. Richiesta Comune Prot. n. 765 del 30/03/2019</t>
  </si>
  <si>
    <t>TRASFERIMENTO RISORSE FINALIZZATE ALLA RICOSTRUZIONE PRIVATA - Delibera CIPE 22/2015 – Comune di BRITTOLI (PE) Rif. Richiesta Comune Prot. n. 266 del 04/02/2019</t>
  </si>
  <si>
    <t>TRASFERIMENTO RISORSE FINALIZZATE ALLA RICOSTRUZIONE PRIVATA - Delibera CIPE 22/2015 – Comune di OFENA (AQ) Rif. Richiesta Comune Prot. n. 620 del 20/03/2019</t>
  </si>
  <si>
    <t>lavori di messa in sicurezza fontanile storico di San Pio di Fontecchio. Comune di Fontecchio. Erogazione a rendicontazione</t>
  </si>
  <si>
    <t>COMUNE DI MOSCIANO SANT'ANGELO</t>
  </si>
  <si>
    <t>CF 82000070670</t>
  </si>
  <si>
    <t>TRASFERIMENTO RISORSE FINALIZZATE ALLA RICOSTRUZIONE PRIVATA FUORI CRATERE - Delibera CIPE 22/2015 e Delibera 50/2013 – Comune di MOSCIANO SANT'ANGELO (TE)</t>
  </si>
  <si>
    <t>lavori di messa in sicurezza della Cappella Cappelli. Comune di San Demetrio ne’ Vestini. Liquidazione III Sal Finale e competenze di cui all’art. 113 del D. Lgs. 50/2016</t>
  </si>
  <si>
    <t>TRASFERIMENTO RISORSE FINALIZZATE ALLA RICOSTRUZIONE PRIVATA FUORI CRATERE - Delibera 50/2013 – Comune di AVEZZANO (AQ)</t>
  </si>
  <si>
    <t>Assegnazione e erogazione fondi per il finanziamento del "Safe Community - Progetto di videosorveglianza integrata dei comuni del cratere sismico" e erogazione acconto - Tornimparte (AQ)</t>
  </si>
  <si>
    <t>TRASFERIMENTO RISORSE FINALIZZATE ALLA RICOSTRUZIONE PRIVATA - Delibera CIPE 22/2015 – Comune di BUSSI SUL TIRINO (PE) Rif. Richiesta Comune Prot. n. 1895 del 25/03/2019</t>
  </si>
  <si>
    <t>TRASFERIMENTO RISORSE FINALIZZATE ALLA RICOSTRUZIONE PRIVATA - Delibera CIPE 22/2015 – Comune di BUGNARA (AQ) Rif. Richiesta Comune Prot. n. 934 del 18/03/2019</t>
  </si>
  <si>
    <t>COMUNE DI GORIANO SICOLI</t>
  </si>
  <si>
    <t>CF 00218000669</t>
  </si>
  <si>
    <t>TRASFERIMENTO RISORSE FINALIZZATE ALLA RICOSTRUZIONE PRIVATA - Delibera CIPE 22/2015, CIPE 58/2017– Comune di GORIANO SICOLI (AQ) Rif. Richiesta Comune Prot. n. 845 del 19/04/2019</t>
  </si>
  <si>
    <t>CODFIN CIPE58art1co1</t>
  </si>
  <si>
    <t>TRASFERIMENTO RISORSE FINALIZZATE ALLA RICOSTRUZIONE PRIVATA - Delibera CIPE 58/2017, CIPE 113/2015– Comune di SANTO STEFANO DI SESSANIO (AQ) Rif. Richiesta Comune Prot. n. 968 del 12/04/2019</t>
  </si>
  <si>
    <t>CODFIN CIPE113art1co2let.a</t>
  </si>
  <si>
    <t>intervento di consolidamento versante nord - loc. Silvestre - Comune di Montebello di Bertona. Liquidazione spese Direzione Lavori e saldo anticipazione contrattuale. Presa d’atto della perizia di variante e lavori di completamento</t>
  </si>
  <si>
    <t>lavori di messa in sicurezza fabbricato ubicato in via Zambeccario e via dei rinforzi - Comune di Corfinio (AQ). Liquidazione somme SAL Finale, CRE e spese tecniche</t>
  </si>
  <si>
    <t>TRASFERIMENTO RISORSE FINALIZZATE ALLA RICOSTRUZIONE PRIVATA FUORI CRATERE - Delibera 22/2015 – Comune di SAN BENEDETTO IN PERILLIS (AQ)</t>
  </si>
  <si>
    <t>intervento di recupero post sisma della sede municipale del Comune di Castelli. Erogazione spese per progettazione</t>
  </si>
  <si>
    <t>progetto di riparazione plessi cimiteriali comunali. Comune di Lucoli. Liquidazione stato finale, CRE e competenze tecniche</t>
  </si>
  <si>
    <t>scuola elementare - Comune di Anversa degli Abruzzi (AQ). CUP: I13G12000050005 - PROTOCOLLO NORMALIZZATO AQ-ADA-OOPP-011360. Rendicontazione seconda rata e trasferimento saldo finale</t>
  </si>
  <si>
    <t>COMUNE DI CARSOLI</t>
  </si>
  <si>
    <t>CF 00217280668</t>
  </si>
  <si>
    <t>istituto omnicomprensivo del Comune di Carsoli. CUP: B46E12000140003 PROTOCOLLO NORMALIZZATO AQ-CRS-OOPP-04307. Trasferimento secondo acconto</t>
  </si>
  <si>
    <t>lavori di riparazione edificio adibito a poliambulatorio comunale. Comune di Castelvecchio Subequo. Erogazione Saldo</t>
  </si>
  <si>
    <t>intervento di adeguamento miglioramento della cappella cimiteriale € 300.000,00 - Comune di Collarmele. Progetto di completamento Liquidazione SAL 1</t>
  </si>
  <si>
    <t>intervento di adeguamento miglioramento della cappella cimiteriale € 300.000,00 - Comune di Collarmele. Liquidazione assistenza archeologica</t>
  </si>
  <si>
    <t>lavori di manutenzione MAP del Comune di Santo Stefano di Sessanio. Erogazione acconto competenze tecniche</t>
  </si>
  <si>
    <t>intervento di ripristino dell’accessibilità e della fruibilità degli spazi pubblici e delle pubbliche vie. Comune di Prata d’Ansidonia. LOTTO 1. Trasferimento somme per competenze tecniche e incentivi interni</t>
  </si>
  <si>
    <t>Trasferimento fondi finanziamento del "Safe Community - Progetto di Videosorveglianza integrata dei comuni del cratere sismico ” - Saldo - Popoli (PE)</t>
  </si>
  <si>
    <t>Trasferimento fondi finanziamento del "Safe Community - Progetto di Videosorveglianza integrata dei comuni del cratere sismico ” - Saldo - Torre De' Passeri (PE)</t>
  </si>
  <si>
    <t>TRASFERIMENTO RISORSE FINALIZZATE ALLA RICOSTRUZIONE PRIVATA - Delibera CIPE 113/2015– Comune di ARSITA (TE) Rif. Richiesta Comune Prot. n. 1299 del 07/05/2019</t>
  </si>
  <si>
    <t>TRASFERIMENTO RISORSE FINALIZZATE ALLA RICOSTRUZIONE PRIVATA FUORI CRATERE - Delibera CIPE 50/2013 – Delibera CIPE 135/2013 - Delibera CIPE 22/2015 – Comune di CELANO(AQ)</t>
  </si>
  <si>
    <t>TRASFERIMENTO RISORSE FINALIZZATE ALLA RICOSTRUZIONE PRIVATA FUORI CRATERE - Delibera CIPE 22/2015 – Comune di BASCIANO (TE)</t>
  </si>
  <si>
    <t>TRASFERIMENTO RISORSE FINALIZZATE ALLA RICOSTRUZIONE PRIVATA - Delibera CIPE 113/2015– Comune di LUCOLI (AQ) Rif. Richiesta Comune Prot. n. 1918 del 06/04/2019</t>
  </si>
  <si>
    <t>RENDICONTAZIONE CO.CO.CO. ( Gennaio –Luglio; Ottobre - Dicembre 2018)</t>
  </si>
  <si>
    <t>CODFIN CIPE81/2018</t>
  </si>
  <si>
    <t>RENDICONTAZIONE CO.CO.CO (Gennaio – Dicembre 2018)</t>
  </si>
  <si>
    <t>RENDICONTAZIONE CO.CO.CO. ( Gennaio – Dicembre 2018)</t>
  </si>
  <si>
    <t>RENDICONTAZIONE CO.CO.CO. (Gennaio – Dicembre 2018)</t>
  </si>
  <si>
    <t>TRASFERIMENTO RISORSE FINALIZZATE ALLA RICOSTRUZIONE PRIVATA FUORI CRATERE - Delibera CIPE 22/2015 e Delibera CIPE 58/2017 – Comune di COLLECORVINO (PE)</t>
  </si>
  <si>
    <t>CODFIN CIPE22/2015</t>
  </si>
  <si>
    <t>CODFIN CIPE58/2017</t>
  </si>
  <si>
    <t>Programma di sviluppo RESTART (Delibera CIPE 49/2016) – Trasferimento fondi a favore del Comune di Gagliano Aterno (AQ) per l’attuazione dell’intervento “Wayne in Abruzzo” (Delibera CIPE 70/2017, annualità 2017).</t>
  </si>
  <si>
    <t>TRASFERIMENTO RISORSE FINALIZZATE ALLA RICOSTRUZIONE PRIVATA - Delibera CIPE 113/2015– Comune di PRATA D’ANSIDONIA (AQ) Rif. Richiesta Comune Prot. n. 514 del 18/04/2019, sostituita da prot. n. 617 del 20/05/2019</t>
  </si>
  <si>
    <t>TRASFERIMENTO RISORSE FINALIZZATE ALLA RICOSTRUZIONE PRIVATA - Delibera CIPE 113/2015– Comune di TIONE DEGLI ABRUZZI (AQ) Rif. Richiesta Comune Prot. n. 1043 del 03/04/2019, sostituita da prot. n. 1592 del 20/05/2019</t>
  </si>
  <si>
    <t>Assegnazione e erogazione fondi per rimborso interventi eseguiti relativi al “Progetto di Videosorveglianza dei Comuni del cratere” - – Montereale (AQ)</t>
  </si>
  <si>
    <t>COMUNE DI ROCCACASALE</t>
  </si>
  <si>
    <t>CF 83000550661</t>
  </si>
  <si>
    <t>lavori di messa in sicurezza muri di contenimento - Comune di Roccacasale (AQ). Liquidazione spese tecniche relative al SAL 2</t>
  </si>
  <si>
    <t>intervento di riparazione dei danni causati dal terremoto del 2009 presso il cimitero del capoluogo, 2° stralcio - Comune di Montorio al Vomano. Trasferimento risorse credito lavori</t>
  </si>
  <si>
    <t>intervento di ripristino dell’accessibilità e della fruibilità degli spazi pubblici e delle pubbliche vie. Comune di Prata d’Ansidonia. LOTTO 4. Trasferimento somme per competenze tecniche e incentivi interni</t>
  </si>
  <si>
    <t>riparazione danni sisma 2009 impianto sportivo in contrada Collalto. Comune di Brittoli. Trasferimento somme al SAL 1 e competenze tecniche</t>
  </si>
  <si>
    <t>liceo artistico “Mario dei Fiori”. CUP: C11E13000260005 PROTOCOLLO NORMALIZZATO PE-PROVPE-OOPP-00072. Rendicontazione prima rata e trasferimento seconda rata</t>
  </si>
  <si>
    <t>Scuola media capoluogo, via Villa De Felici n. 1” CUP: B41E16000360004 PROTOCOLLO NORMALIZZATO: PE-PNL-OOPP-05080. Comune di Pianella (PE). Trasferimento saldo</t>
  </si>
  <si>
    <t>Liceo Classico “M. Delfico” (TE) - Provincia di Teramo. CUP: E44H14000050001 - PROTOCOLLO NORMALIZZATO TE-PROVTE-OOPP-04683. Rendicontazione Prima Rata e trasferimento Seconda Rata</t>
  </si>
  <si>
    <t>liceo scientifico “G. Peano” - Provincia di Teramo. CUP: E34H14000010001 - PROTOCOLLO NORMALIZZATO: TE-PROVTE-OOPP-04684. Rendicontazione stato finale e ultimo trasferimento</t>
  </si>
  <si>
    <t>COMUNE DI SAN VALENTINO IN ABRUZZO CITERIORE</t>
  </si>
  <si>
    <t>CF 81000410688</t>
  </si>
  <si>
    <t>scuola elementare “B. Croce”, sita tra via Fiume e largo San Nicola. CUP: F33J13000660002 - PROTOCOLLO NORMALIZZATO: PE-SVC-OOPP-04431. Rendicontazione seconda rata, presa d’atto della perizia di variante e trasferimento rata finale</t>
  </si>
  <si>
    <t>COMUNE DI ROCCA DI BOTTE</t>
  </si>
  <si>
    <t>CF 00181800665</t>
  </si>
  <si>
    <t>Scuola Elementare – Rocca di Botte (AQ). CUP: C59C03000010006 - PROTOCOLLO NORMALIZZATO AQ-RDB-OOPP-04313. Rendicontazione Prima Rata e trasferimento Seconda Rata</t>
  </si>
  <si>
    <t>TRASFERIMENTO RISORSE FINALIZZATE ALLA RICOSTRUZIONE PRIVATA FUORI CRATERE - Delibera CIPE 58/2017 – Comune di CELLINO ATTANASIO (TE)</t>
  </si>
  <si>
    <t>TRASFERIMENTO RISORSE FINALIZZATE ALLA RICOSTRUZIONE PRIVATA - Delibera CIPE 113/2015– Comune di VILLA SANTA LUCIA DEGLI ABRUZZI (AQ). Rif. Richiesta Comune Prot. n. 1261 del 28/05/2019</t>
  </si>
  <si>
    <t>COMUNE DI CEPAGATTI</t>
  </si>
  <si>
    <t>CF 00221110687</t>
  </si>
  <si>
    <t>TRASFERIMENTO RISORSE FINALIZZATE ALLA RICOSTRUZIONE PRIVATA FUORI CRATERE - Delibera 58/2017– Comune di CEPAGATTI (PE</t>
  </si>
  <si>
    <t>riparazione danni sisma 2009 impianto sportivo in contrada Collarso. Comune di Brittoli (PE). Trasferimento saldo somme al SAL 1 e competenze tecniche</t>
  </si>
  <si>
    <t>lavori di ripristino e miglioramento sismico del Palazzo Comunale - Comune di Castel del Monte. Trasferimento somme per pagamento competenze tecniche del progetto esecutivo</t>
  </si>
  <si>
    <t>TRASFERIMENTO RISORSE FINALIZZATE ALLA RICOSTRUZIONE PRIVATA FUORI CRATERE - Delibera CIPE 22/2015 e Delibera 58/2017– Comune di PACENTRO (AQ)</t>
  </si>
  <si>
    <t>COMUNE DI AIELLI</t>
  </si>
  <si>
    <t>CF 00098910664</t>
  </si>
  <si>
    <t>TRASFERIMENTO RISORSE FINALIZZATE ALLA RICOSTRUZIONE PRIVATA FUORI CRATERE - Delibera 58/2017– Comune di AIELLI (AQ)</t>
  </si>
  <si>
    <t>RENDICONTAZIONE TRASLOCO E DEPOSITO TEMPORANEO DEL MOBILIO (NOVEMBRE 2018, APRILE 2019)</t>
  </si>
  <si>
    <t>RENDICONTAZIONE TRASLOCO E DEPOSITO TEMPORANEO DEL MOBILIO (OTTOBRE-NOVEMBRE 2018 - MARZO 2019)</t>
  </si>
  <si>
    <t>RENDICONTAZIONE TRASLOCO E DEPOSITO TEMPORANEO DEL MOBILIO (DICEMBRE 2018, MARZO 2019)</t>
  </si>
  <si>
    <t>RENDICONTAZIONE TRASLOCO E DEPOSITO TEMPORANEO DEL MOBILIO (APRILE - DICEMBRE 2018)</t>
  </si>
  <si>
    <t>RENDICONTAZIONE TRASLOCO E DEPOSITO TEMPORANEO DEL MOBILIO (OTTOBRE - DICEMBRE 2018 - FEBBRAIO - APRILE 2019)</t>
  </si>
  <si>
    <t>RENDICONTAZIONE TRASLOCO E DEPOSITO TEMPORANEO DEL MOBILIO (FEBBRAIO 2019)</t>
  </si>
  <si>
    <t>COMUNE DI ROCCA DI CAMBIO</t>
  </si>
  <si>
    <t>CF 00213130669</t>
  </si>
  <si>
    <t>RENDICONTAZIONE TRASLOCO E DEPOSITO TEMPORANEO DEL MOBILIO (GIUGNO - AGOSTO 2017, NOVEMBRE 2018)</t>
  </si>
  <si>
    <t>RENDICONTAZIONE TRASLOCO E DEPOSITO TEMPORANEO DEL MOBILIO (MAGGIO 2019)</t>
  </si>
  <si>
    <t>RENDICONTAZIONE TRASLOCO E DEPOSITO TEMPORANEO DEL MOBILIO (MARZO 2019)</t>
  </si>
  <si>
    <t>RENDICONTAZIONE TRASLOCO E DEPOSITO TEMPORANEO DEL MOBILIO (GENNAIO 2019)</t>
  </si>
  <si>
    <t>RENDICONTAZIONE TRASLOCO E DEPOSITO TEMPORANEO DEL MOBILIO (GENNAIO - MARZO - GIUGNO 2019)</t>
  </si>
  <si>
    <t>RENDICONTAZIONE TRASLOCO E DEPOSITO TEMPORANEO DEL MOBILIO (SETTEMBRE 2018 - MARZO 2019)</t>
  </si>
  <si>
    <t>RENDICONTAZIONE TRASLOCO E DEPOSITO TEMPORANEO DEL MOBILIO (LUGLIO - OTTOBRE - NOVEMBRE 2018)</t>
  </si>
  <si>
    <t>RENDICONTAZIONE TRASLOCO E DEPOSITO TEMPORANEO DEL MOBILIO (DICEMBRE 2016 - NOVEMBRE 2017 - GENNAIO 2017) (SETTEMBRE – NOVEMBRE 2018)</t>
  </si>
  <si>
    <t>COMUNE DI MANOPPELLO</t>
  </si>
  <si>
    <t>CF 81000530683</t>
  </si>
  <si>
    <t>TRASFERIMENTO RISORSE FINALIZZATE ALLA RICOSTRUZIONE PRIVATA - Delibera CIPE 113/2015– Comune di CAPESTRANO (AQ). Rif. Richiesta Comune Prot. n. 1320 del 15/05/2019</t>
  </si>
  <si>
    <t>TRASFERIMENTO RISORSE FINALIZZATE ALLA RICOSTRUZIONE PRIVATA - Delibera CIPE 113/2015– Comune di BARISCIANO (AQ). Rif. Richiesta Comune Prot. n. 2830 del 29/05/2019 e seguenti</t>
  </si>
  <si>
    <t>TRASFERIMENTO RISORSE FINALIZZATE ALLA RICOSTRUZIONE PRIVATA - Delibera CIPE 113/2015– Comune di CASTELVECCHIO SUBEQUO (AQ). Rif. Richiesta Comune Prot. n. 2023 del 06/06/2019</t>
  </si>
  <si>
    <t>lavori di miglioramento sismico e ricostruzione della Torre Medicea nel Comune di Santo Stefano di Sessanio (AQ). Trasferimento somme per SAL 1 e spese tecniche</t>
  </si>
  <si>
    <t>TRASFERIMENTO RISORSE FINALIZZATE ALLA RICOSTRUZIONE PRIVATA - Delibera CIPE 113/2015– Comune di POPOLI (PE). Rif. Richiesta Comune Prot. n. 8363 del 30/05/2019 e successive.</t>
  </si>
  <si>
    <t>TRASFERIMENTO RISORSE FINALIZZATE ALLA RICOSTRUZIONE PRIVATA - Delibera CIPE 113/2015– Comune di MONTEREALE (AQ). Rif. Richiesta Comune Prot. n. 4378/2019.</t>
  </si>
  <si>
    <t>TRASFERIMENTO RISORSE FINALIZZATE ALLA RICOSTRUZIONE PRIVATA - Delibera CIPE 113/2015– Comune di CARAPELLE CALVISIO (AQ). Rif. Richiesta Comune Prot. n. 784 del 08/06/2019.</t>
  </si>
  <si>
    <t>TRASFERIMENTO RISORSE FINALIZZATE ALLA RICOSTRUZIONE PRIVATA - Delibera CIPE 113/2015– Comune di CIVITELLA CASANOVA (PE). Rif. Richiesta Comune Prot. n. 2322 del 09/05/2019.</t>
  </si>
  <si>
    <t>Piani di Ricostruzione – Trasferimento fondi a favore del Comune di Fano Adriano per la redazione del Piano di Ricostruzione (quarto acconto a saldo), assegnati con determina USRC n.52 del 18/7/2013.</t>
  </si>
  <si>
    <t>COMUNE DI ORICOLA</t>
  </si>
  <si>
    <t>CF 00181950668</t>
  </si>
  <si>
    <t>complesso scolastico - Comune di Oricola (AQ). CUP: E54B13000190002 - PROTOCOLLO NORMALIZZATO AQ-ORC-OOPP-04422. Rendicontazione seconda rata e trasferimento terza rata</t>
  </si>
  <si>
    <t>Erogazione fondi contributo autonoma sistemazione periodo 01.01.2018-31.12.2018 - Comune di Loreto Aprutino (PE)</t>
  </si>
  <si>
    <t>scuola elementare Collodi Gandin - Comune di Avezzano. CUP: J34B14000030001 - PROTOCOLLO NORMALIZZATO AQ-AVZ-OOPP-04637. Rendicontazione prima rata, trasferimento seconda rata</t>
  </si>
  <si>
    <t>lavori di ristrutturazione e messa in sicurezza della torre medievale della frazione di Roccapreturo. Comune di Acciano, erogazione saldo</t>
  </si>
  <si>
    <t>lavori di riparazione danni edificio comunale danneggiato dal sisma del 6 aprile 2009 - Comune di Poggio Picenze. Trasferimento fondi per SAL 1, 2 e 3 del Lotto funzionale A e trasferimento fondi per SAL 1 e 2 del lotto funzionale B.</t>
  </si>
  <si>
    <t>COMUNE DI CASTEL DI SANGRO</t>
  </si>
  <si>
    <t>CF 82000330660</t>
  </si>
  <si>
    <t>scuola media - Comune di Castel di Sangro. CUP: F74B13000340001 - PROTOCOLLO NORMALIZZATO AQ-CDS-OOPP-04443. Rendicontazione terza rata, trasferimento quarta rata</t>
  </si>
  <si>
    <t>TRASFERIMENTO RISORSE FINALIZZATE ALLA RICOSTRUZIONE PRIVATA - Delibera CIPE 113/2015– Comune di SAN DEMETRIO NE’ VESTINI (AQ). Rif. Richiesta Comune Prot. n. 2673 del 20/06/2019.</t>
  </si>
  <si>
    <t>TRASFERIMENTO RISORSE FINALIZZATE ALLA RICOSTRUZIONE PRIVATA - Delibera CIPE 113/2015– Comune di PIZZOLI (AQ). Rif. Richiesta Comune Prot. n. 7406 del 13/06/2019.</t>
  </si>
  <si>
    <t>I.S.I.S. A. di Savoia di Popoli, succursale I.P.S.I.A. A. di Savoia. Via Corti, Popoli (PE) - Provincia di Pescara CUP: C71E13000160001 - PROTOCOLLO NORMALIZZATO: PE-PROVPE-OOPP-03370. Rendicontazione anticipazione terza rata e trasferimento saldo finale.</t>
  </si>
  <si>
    <t>CODFIN CIPE 47/2009</t>
  </si>
  <si>
    <t>ATER CHIETI</t>
  </si>
  <si>
    <t>Interventi post sisma 2009 su immobili dell’ATER - Azienda Territoriale per l’Edilizia Residenziale di Chieti. Acquisizione rendicontazione somme trasferite con determinazione USRC n. 292 del 15/05/2019 ed erogazione fondi per interventi su progetto 360 “Lavori di riparazione dei danni prodotti dal terremoto del 06/04/2009 all’edificio posto in Via G. D'Annunzio n. 1, 3, 5, 7, 9, 11 e 13”</t>
  </si>
  <si>
    <t>CODFIN CIPE 23/2015art2c1</t>
  </si>
  <si>
    <t>CODFIN CIPE 22/2015</t>
  </si>
  <si>
    <t>COMUNE DI MAGLIANO DEI MARSI</t>
  </si>
  <si>
    <t>Scuole infanzia, elementare e media - Comune di Magliano Dè Marsi (AQ). CUP: F54B13000630001-PROTOCOLLO NORMALIZZATO AQ-MDM-OOPP-04311. Rendicontazione seconda rata e trasferimento terza rata.</t>
  </si>
  <si>
    <t>Scuola media “B. Croce”, via G. Marconi - Comune di Civitella Casanova. CUP: B61E14000090001 - PROTOCOLLO NORMALIZZATO: PE-CVC-OOPP-01439. Rendicontazione seconda rata e trasferimento saldo finale.</t>
  </si>
  <si>
    <t>TRASFERIMENTO RISORSE FINALIZZATE ALLA RICOSTRUZIONE PRIVATA - Delibera CIPE 113/2015– Comune di FAGNANO ALTO (AQ). Rif. Richiesta Comune Prot. n. 1547 del 19/06/2019</t>
  </si>
  <si>
    <t>COMUNE DI ATRI</t>
  </si>
  <si>
    <t>CF 00076610674</t>
  </si>
  <si>
    <t>TRASFERIMENTO RISORSE FINALIZZATE ALLA RICOSTRUZIONE PRIVATA FUORI CRATERE - Delibera CIPE 22/2015 – Comune di ATRI (TE)</t>
  </si>
  <si>
    <t>TRASFERIMENTO RISORSE FINALIZZATE ALLA RICOSTRUZIONE PRIVATA FUORI CRATERE - Delibera CIPE 22/2015 – Comune di PIETRANICO (PE)</t>
  </si>
  <si>
    <t>messa in sicurezza demolizioni parti pericolanti e rimozione macerie dalla viabilità nel borgo di Civitaretenga - Comune di Navelli. Trasferimento risorse SAL 2 e competenze tecniche</t>
  </si>
  <si>
    <t>COMUNE DI PESCARA</t>
  </si>
  <si>
    <t>CF 00124600685</t>
  </si>
  <si>
    <t>TRASFERIMENTO RISORSE FINALIZZATE ALLA RICOSTRUZIONE PRIVATA FUORI CRATERE - Delibera CIPE 50/2013 e Delibera CIPE 58/2017 – Comune di PESCARA (PE)</t>
  </si>
  <si>
    <t>CODFIN CIPE50/2013</t>
  </si>
  <si>
    <t>Interventi post sisma 2009 su immobili dell’ATER - Azienda Territoriale per l’Edilizia Residenziale di Chieti. Acquisizione rendicontazione somme trasferite con determinazione USRC n. 292 del 15/05/2019 ed erogazione fondi per interventi su progetto 366 - Lavori di riparazione dei danni prodotti dal terremoto del 06/04/2009 ai due edifici di complessivi n. 22 alloggi in Ortona (CH) alla Via Genova 1 e Via Pisa 2. CUP F76I10000520001</t>
  </si>
  <si>
    <t>TRASFERIMENTO RISORSE FINALIZZATE ALLA RICOSTRUZIONE PRIVATA - Delibera CIPE 113/2015– Comune di CASTEL DEL MONTE (AQ). Rif. Richiesta Comune Prot. n. 3970 del 15/07/2019.</t>
  </si>
  <si>
    <t>ristrutturazione della casa comunale - Comune di Ovindoli (AQ) – erogazione somme per indagini e progettazione</t>
  </si>
  <si>
    <t>lavori di demolizione e ricostruzione sede comunale - Comune di Pio delle Camere (AQ). Erogazione SAL Finale lavori, spese tecniche</t>
  </si>
  <si>
    <t>intervento di consolidamento versante nord - loc. Silvestre - Comune di Montebello di Bertona. Trasferimento SAL 2 progetto principale, SAL 1 progetto di completamento</t>
  </si>
  <si>
    <t>intervento di ripristino e adeguamento sottoservizi esistenti in via colle saraceno - lotto 1 - Comune di Villa Sant’Angelo (AQ). Liquidazione somme SAL 2 e SAL Finale</t>
  </si>
  <si>
    <t>lavori di miglioramento sismico ala Nord Complesso Scolastico “G. Paolini” da adibire a sede comunale - Comune di Popoli (PE). Liquidazione SAL 6</t>
  </si>
  <si>
    <t>lavori di riparazione interventi di manutenzione immobili EEP in via colle Quinzio - Comune di Civitella Casanova (PE). Presa d’atto variante, liquidazione saldo e accertamento economie</t>
  </si>
  <si>
    <t>intervento di ristrutturazione del complesso cimiteriale della Chiesa di Santa Maria in Cerulis a Navelli Capoluogo - Comune di Navelli (AQ). Liquidazione somme al SAL 2</t>
  </si>
  <si>
    <t>Trasferimento fondi finanziamento del “Safe Community – Progetto di videosorveglianza integrata dei comuni del cratere sismico” - Saldo – Castelvecchio Subequo (AQ)</t>
  </si>
  <si>
    <t>Trasferimento fondi finanziamento del “Safe Community – Progetto di videosorveglianza integrata dei comuni del cratere sismico” - Saldo – Montebello di Bertona (PE)</t>
  </si>
  <si>
    <t>TRASFERIMENTO RISORSE FINALIZZATE ALLA RICOSTRUZIONE PRIVATA - Delibera CIPE 113/2015– Comune di TORRE DE’ PASSERI (PE). Rif. Richiesta Comune Prot. n. 5070 del 23/07/2019, sostituita da Prot. n. 5739 del 05/07/2019.</t>
  </si>
  <si>
    <t>TRASFERIMENTO RISORSE FINALIZZATE ALLA RICOSTRUZIONE PRIVATA FUORI CRATERE - Delibera CIPE 22/2015 – Comune di TOCCO DA CASAURIA (PE)</t>
  </si>
  <si>
    <t>Trasferimento fondi finanziamento del “Safe Community – Progetto di videosorveglianza integrata dei comuni del cratere sismico” -Saldo – Pizzoli (AQ)</t>
  </si>
  <si>
    <t>Trasferimento fondi finanziamento del “Safe Community – Progetto di videosorveglianza integrata dei comuni del cratere sismico” - Rimborso– Colledara (TE)</t>
  </si>
  <si>
    <t>liceo scientifico “Einstein” via don Luigi Sturzo, 5 Teramo - Provincia di Teramo CUP: E44H14000060001 - PROTOCOLLO NORMALIZZATO: AQ-PROVTE-OOPP-04682. Rendicontazione seconda rata e trasferimento saldo</t>
  </si>
  <si>
    <t>scuola elementare e materna Vittorio Clemente in Via Vittorio Emanuele - Comune di Bugnara (AQ). CUP: G99H12000470002 - PROTOCOLLO NORMALIZZATO AQ-BGN-OOPP-03938. Rendicontazione terza rata e trasferimento quarta rata</t>
  </si>
  <si>
    <t>scuola materna polo frazione Marrocchi - Comune di Campli (TE). CUP: E74H11000040006 - PROTOCOLLO NORMALIZZATO: TE-CMP-OOPP-04742. Rendicontazione prima rata e trasferimento seconda rata</t>
  </si>
  <si>
    <t>TRASFERIMENTO RISORSE FINALIZZATE ALLA RICOSTRUZIONE PRIVATA - Delibera CIPE 113/2015– Comune di BUSSI SUL TIRINO (PE). Rif. Richiesta Comune Prot. n. 4656 del 29/07/2019.</t>
  </si>
  <si>
    <t>TRASFERIMENTO RISORSE FINALIZZATE ALLA RICOSTRUZIONE PRIVATA - Delibera CIPE 113/2015– Comune di ROCCA DI MEZZO (AQ). Rif. Richiesta Comune Prot. n. 7450 del 19/08/2019, sostituita con n. 8221 del 13/09/2019.</t>
  </si>
  <si>
    <t>Assegnazione e erogazione fondi per il finanziamento del “Safe Community – Progetto di videosorveglianza integrata dei comuni del cratere sismico” - acconto – Castelli (TE)</t>
  </si>
  <si>
    <t>COMUNE DI PRATOLA PELIGNA</t>
  </si>
  <si>
    <t>CF 00017390667</t>
  </si>
  <si>
    <t>TRASFERIMENTO RISORSE FINALIZZATE ALLA RICOSTRUZIONE PRIVATA FUORI CRATERE - Delibera CIPE 22/2015 – Comune di PRATOLA PELIGNA (AQ)</t>
  </si>
  <si>
    <t>CODFIN CIPE22/2015 annualità 2014</t>
  </si>
  <si>
    <t>CODFIN CIPE22/2015 annualità 2016</t>
  </si>
  <si>
    <t>TRASFERIMENTO RISORSE FINALIZZATE ALLA RICOSTRUZIONE PRIVATA FUORI CRATERE – Delibera CIPE 22/2015 – Delibera CIPE 50/2013 – Delibera CIPE 58/2017- Comune di SAN BENEDETTO IN PERILLIS (AQ</t>
  </si>
  <si>
    <t>CODFIN CIPE50/2013 annualità 2017</t>
  </si>
  <si>
    <t>CODFIN CIPE58/2017 annualità 2016</t>
  </si>
  <si>
    <t>RENDICONTAZIONE CO.CO.CO. (NOVEMBRE -DICEMBRE 2017)</t>
  </si>
  <si>
    <t>COMUNE DI VILLA S. ANGELO</t>
  </si>
  <si>
    <t>RENDICONTAZIONE CO.CO.CO. (Settembre - Ottobre – Dicembre 2018)</t>
  </si>
  <si>
    <t>RENDICONTAZIONE CO.CO.CO. ( Gennaio – Dicembre2018)</t>
  </si>
  <si>
    <t>RENDICONTAZIONE CO.CO.CO. (Aprile – Dicembre 2018)</t>
  </si>
  <si>
    <t>RENDICONTAZIONE CO.CO.CO. (Ottobre – Dicembre 2018)</t>
  </si>
  <si>
    <t>RENDICONTAZIONE CO.CO.CO. (Settembre – Dicembre 2018)</t>
  </si>
  <si>
    <t>RENDICONTAZIONE CO.CO.CO. (Gennaio - Giugno2018)</t>
  </si>
  <si>
    <t>RENDICONTAZIONE CO.CO.CO. ( Luglio – Dicembre 2018)</t>
  </si>
  <si>
    <t>RENDICONTAZIONE CO.CO.CO. (Luglio – Dicembre 2018)</t>
  </si>
  <si>
    <t>RENDICONTAZIONE CO.CO.CO. (Maggio – Dicembre 2018)</t>
  </si>
  <si>
    <t>RENDICONTAZIONE CO.CO.CO. (Febbraio – Dicembre2018)</t>
  </si>
  <si>
    <t>RENDICONTAZIONE CO.CO.CO. (Novembre – Dicembre 2018)</t>
  </si>
  <si>
    <t>Assegnazione e erogazione fondi per il finanziamento del “Safe Community – Progetto di videosorveglianza integrata dei comuni del cratere sismico” - acconto – Ovindoli (AQ)</t>
  </si>
  <si>
    <t>TRASFERIMENTO RISORSE FINALIZZATE ALLA RICOSTRUZIONE PRIVATA FUORI CRATERE - Delibera CIPE 22/2015 – Delibera CIPE 58/2017- Comune di BISENTI (TE)</t>
  </si>
  <si>
    <t>CODFIN CIPE58/2017 annualità 2017</t>
  </si>
  <si>
    <t>TRASFERIMENTO RISORSE FINALIZZATE ALLA RICOSTRUZIONE PRIVATA - Delibera CIPE 113/2015– Comune di CAPORCIANO (AQ). Rif. Richiesta Comune Prot. n. 2344 del 20/08/2019.</t>
  </si>
  <si>
    <t>Spese assistenziali - Erogazione fondi per “CONTRIBUTO AUTONOMA SISTEMAZIONE” – Comune di Cagnano Amiterno. Annualità 2017 (periodo settembre - dicembre). Richiesta Comune Prot. 532 del 02/02/2018.</t>
  </si>
  <si>
    <t>Spese assistenziali - Erogazione fondi per “CONTRATTI DI LOCAZIONE” – Comune di Sulmona - Annualità 2016 (periodo Dicembre). Richiesta Comune prot. 39433 del 25/10/2017.</t>
  </si>
  <si>
    <t>Spese assistenziali - Erogazione fondi per “CONTRATTI DI LOCAZIONE” – Comune di Rocca di Cambio - Annualità 2016 (periodo Gennaio - Novembre). Richiesta Comune prot. 480 del 28/03/2019.</t>
  </si>
  <si>
    <t>CF 0017390667</t>
  </si>
  <si>
    <t>Spese assistenziali - Erogazione fondi per “CONTRIBUTO AUTONOMA SISTEMAZIONE” – Comune di Pratola Peligna. Annualità 2017 (periodo luglio - dicembre). Richiesta Comune Prot. 7058 del 31/05/2019.</t>
  </si>
  <si>
    <t>Spese assistenziali - Erogazione fondi per “CONTRIBUTO AUTONOMA SISTEMAZIONE” – Comune di Manoppello. Annualità 2017 (dicembre). Richiesta Comune prot. n. 4407 del 25/03/2019.</t>
  </si>
  <si>
    <t>Spese assistenziali - Erogazione fondi per “CONTRIBUTO AUTONOMA SISTEMAZIONE” – Comune di Isola del Gran Sasso d’Italia. Annualità 2017 (periodo gennaio - dicembre). Richiesta Comune prot. n. 5331 del 13/07/2018.</t>
  </si>
  <si>
    <t>Spese assistenziali - Erogazione fondi per “CONTRIBUTO AUTONOMA SISTEMAZIONE” – Comune di Corfinio. Annualità 2017 (periodo gennaio - dicembre). Richiesta Comune prot. n. 990 del 21/02/2018, nota di trasmissione 2864 del 31/05/2018</t>
  </si>
  <si>
    <t>COMUNE DI COLLEPIETRO</t>
  </si>
  <si>
    <t>CF 00093010668</t>
  </si>
  <si>
    <t>Spese assistenziali - Erogazione fondi per “CONTRIBUTO AUTONOMA SISTEMAZIONE” – Comune di Collepietro. Annualità 2017 (periodo gennaio - dicembre). Richiesta Comune Prot. 1046 del 29/05/2018.</t>
  </si>
  <si>
    <t>Spese assistenziali - Erogazione fondi per “CONTRIBUTO AUTONOMA SISTEMAZIONE” – Comune di Bellante. Annualità 2017 (dicembre). Richiesta Comune prot. n. 8179 del 24/05/2019.</t>
  </si>
  <si>
    <t>Spese assistenziali - Erogazione fondi per “CONTRIBUTO AUTONOMA SISTEMAZIONE” – Comune di Canzano. Annualità 2017 (periodo settembre - dicembre). Richiesta Comune Prot. 1630 del 29/03/2018-1698 del 12/04/2019.</t>
  </si>
  <si>
    <t>Spese assistenziali - Erogazione fondi per “CONTRATTI DI LOCAZIONE” – Comune di Montereale - Annualità 2017 (periodo gennaio - dicembre). Richiesta Comune prot. 9869 del 06/11/2018.</t>
  </si>
  <si>
    <t>Spese assistenziali - Erogazione fondi per “CONTRATTI DI LOCAZIONE” – Comune di Ovindoli - Annualità 2017 (periodo dicembre). Richiesta Comune prot. 3310 del 03/04/2018</t>
  </si>
  <si>
    <t>Spese assistenziali - Erogazione fondi per “CONTRATTI DI LOCAZIONE” – Comune di Sulmona- Annualità 2017 (periodo Gennaio - dicembre). Richiesta Comune prot. 45752 del 06/12/2017 e prot. 2643 del 18/01/2018.</t>
  </si>
  <si>
    <t>Spese assistenziali - Erogazione fondi per “CONTRATTI DI LOCAZIONE” – Comune di Manoppello- Annualità 2017 (periodo dicembre). Richiesta Comune prot. 4407 del 25/03/2019.</t>
  </si>
  <si>
    <t>Spese assistenziali - Erogazione fondi per “CONTRATTI DI LOCAZIONE” – Comune di Canzano- Annualità 2017 (periodo settembre - dicembre). Richiesta Comune prot. 1630 del 29/03/2018 e prot. 1698 del 12/04/2019.</t>
  </si>
  <si>
    <t>COMUNE DI SCANNO</t>
  </si>
  <si>
    <t>CF 00086720661</t>
  </si>
  <si>
    <t>TRASFERIMENTO RISORSE FINALIZZATE ALLA RICOSTRUZIONE PRIVATA FUORI CRATERE - Delibera 135/2012- Delibera CIPE 22/2015 - Comune di SCANNO (AQ)</t>
  </si>
  <si>
    <t>CODFIN CIPE135/2012 annualità 2014</t>
  </si>
  <si>
    <t>lavori di riparazione spazio pubblico annesso alla sede municipale - Comune di Fontecchio (AQ). Erogazione somme SAL 1</t>
  </si>
  <si>
    <t>Programma di sviluppo RESTART (Delibera CIPE 49/2016) – Trasferimento fondi a favore del Comune di Gagliano Aterno (AQ) per l’attuazione dell’intervento “Wayne in Abruzzo” approvato con Delibera CIPE n. 70/2017 (annualità 2018, Delibera CIPE n. 56/2018).</t>
  </si>
  <si>
    <t>CODFIN CIPE56/2018 art.1</t>
  </si>
  <si>
    <t>demolizione dell’edificio sede comunale - Comune di San Demetrio ne’ Vestini. Trasferimento somme relative a SAL 1 e competenze tecniche, LOTTO II</t>
  </si>
  <si>
    <t>CODFIN CIPE78/2015 art.1 co.1</t>
  </si>
  <si>
    <t>lavori di riparazione edificio comunale adibito a sede della società servizi - Comune di Scoppito (AQ). Trasferimento somme relative allo Stato Final</t>
  </si>
  <si>
    <t>intervento di messa in sicurezza post sisma sui muri di contenimento. Comune di Carapelle Calvisio. Trasferimento risorse relative allo Stato Finale</t>
  </si>
  <si>
    <t>TRASFERIMENTO RISORSE FINALIZZATE ALLA RICOSTRUZIONE PRIVATA - Delibera CIPE 113/2015– Comune di TIONE DEGLI ABRUZZI (AQ). Rif. Richiesta Comune Prot. n. 2838 del 04/09/2019</t>
  </si>
  <si>
    <t>TRASFERIMENTO RISORSE FINALIZZATE ALLA RICOSTRUZIONE PRIVATA - Delibera CIPE 113/2015– Comune di FONTECCHIO (AQ). Rif. Richiesta Comune Prot. n. 1938 del 16/07/2019</t>
  </si>
  <si>
    <t>TRASFERIMENTO RISORSE FINALIZZATE ALLA RICOSTRUZIONE PRIVATA - Delibera CIPE 113/2015– Comune di OFENA (AQ). Rif. Richiesta Comune Prot. n. 1900 del 04/09/2019.</t>
  </si>
  <si>
    <t>TRASFERIMENTO RISORSE FINALIZZATE ALLA RICOSTRUZIONE PRIVATA FUORI CRATERE - Delibera CIPE 22/2015 – Comune di MANOPPELLO (PE)</t>
  </si>
  <si>
    <t>Piani di Ricostruzione – Trasferimento fondi a favore del Comune di Colledara per la redazione del Piano di Ricostruzione (quarto acconto a saldo), assegnati con determina USRC n.146 del 22/11/2013.</t>
  </si>
  <si>
    <t>intervento di consolidamento e messa in sicurezza della cavità ipogea in Via Aseno nella frazione di Civitaretenga a seguito degli eventi sismici del 06/04/2009 Comune di Navelli. Liquidazione somme SAL Finale.</t>
  </si>
  <si>
    <t>COMUNE DI ELICE</t>
  </si>
  <si>
    <t>CF 00221990682</t>
  </si>
  <si>
    <t>TRASFERIMENTO RISORSE FINALIZZATE ALLA RICOSTRUZIONE PRIVATA FUORI CRATERE - Delibera CIPE 22/2015 – Comune di ELICE (PE)</t>
  </si>
  <si>
    <t>Interventi di riparazione danni da sisma 2009 e risanamento conservativo della struttura denominata “Fonte Vecchia” - Comune di San Pio delle Camere (AQ) – Trasferimento fondi per liquidazione spese tecniche e archeologiche</t>
  </si>
  <si>
    <t>Intervento di sistemazione e messa in sicurezza dei ruderi siti a Rocca Calascio in seguito al sisma del 6 aprile 2009 - Comune di Calascio (AQ) Lotto II. Trasferimento risorse relative al SAL 1</t>
  </si>
  <si>
    <t>Lavori di ripristino aree cimiteriali danneggiate dal sisma del 6 aprile 2009. Comune di Brittoli (PE). Progetto di completamento, trasferimento risorse relative a lavori SAL primo e ultimo.</t>
  </si>
  <si>
    <t>Lavori di ripristino aree cimiteriali danneggiate dal sisma del 6 aprile 2009. Comune di Brittoli (PE). Progetto Principale, trasferimento risorse relative a lavori del Secondo e Ultimo SAL e Spese Tecniche</t>
  </si>
  <si>
    <t>TRASFERIMENTO RISORSE FINALIZZATE ALLA RICOSTRUZIONE PRIVATA - Delibera CIPE 113/2015– Comune di SAN PIO DELLE CAMERE (AQ). Rif. Richiesta Comune Prot. n. 2325 del 18/06/2019 e successive integrazioni.</t>
  </si>
  <si>
    <t>Lavori di Riparazione danni causati dal Sisma del 06/04/2009 e rafforzamento sismico della Casa Comunale ex edificio scolastico nella Frazione di San panfilo. Comune di Ocre (AQ). Trasferimento risorse relative al SAL 3 e acquisizione progetto di completamento a seguito di risoluzione consensuale del contratto di appalto</t>
  </si>
  <si>
    <t>Intervento di “Riparazione Edilizia Cimiteriale” – Comune di Montebello di Bertona (PE). Trasferimento risorse per fondo incentivante</t>
  </si>
  <si>
    <t>Interventi post sisma 2009 su immobili dell’ATER - Azienda Territoriale per l’Edilizia Residenziale di Chieti. Acquisizione della documentazione relativa alla rendicontazione delle somme trasferite con Determinazione USRC n. 483 del 05/08/2019 ed ulteriore erogazione fondi per interventi su progetto 360 “Lavori di riparazione dei danni prodotti dal terremoto del 06/04/2009 all’edificio posto in Via G. D'Annunzio n. 1, 3, 5, 7, 9, 11 e 13”.</t>
  </si>
  <si>
    <t>TRASFERIMENTO RISORSE FINALIZZATE ALLA RICOSTRUZIONE PRIVATA FUORI CRATERE - Delibera CIPE 50/2013 – Delibera CIPE 58/2017- Comune di VICOLI (PE)</t>
  </si>
  <si>
    <t>TRASFERIMENTO RISORSE FINALIZZATE ALLA RICOSTRUZIONE PRIVATA - Delibera CIPE 113/2015– Comune di SCOPPITO (AQ). Rif. Richiesta Comune Prot. n. 4039 del 08/08/2019.</t>
  </si>
  <si>
    <t>lavori di miglioramento sismico e ricostruzione della Torre Medicea nel Comune di Santo Stefano di Sessanio (AQ). Trasferimento risorse per spese tecniche progettazione preliminare e definitiva</t>
  </si>
  <si>
    <t>lavori di riparazione danni edificio comunale danneggiato dal sisma del 6 aprile 2009 - Comune di Poggio Picenze. Trasferimento fondi Lotto funzionale “A” liquidazione lavori in economia n. 1, 2 e 3 e Lotto funzionale “B” liquidazione lavori in economia n. 1</t>
  </si>
  <si>
    <t>Lavori di recupero e ristrutturazione del Cimitero di Valle – Cavalletto - Comune di Ocre (AQ) – Erogazione acconto 20%</t>
  </si>
  <si>
    <t>intervento di adeguamento della messa in sicurezza del fabbricato in località Villa Grande fg 18 part 603. Comune di San Demetrio ne’ Vestini. Trasferimento risorse SAL Finale e spese tecniche e accertamento economie</t>
  </si>
  <si>
    <t>messa in sicurezza di carattere definitivo immobile aggettante su area pubblica recante interdizione al transito via S. Antonio 22 28, località Aia Grande, Via Vittorito. Comune di Raiano. Acquisizione del progetto esecutivo ed erogazione somme intervento in AIA GRANDE</t>
  </si>
  <si>
    <t>COMUNE DI SCAFA</t>
  </si>
  <si>
    <t>CF 81000070680</t>
  </si>
  <si>
    <t>Scuole dell’infanzia “Via della Rinascita” – “Frazione Decontra” - Comune di Scafa (PE). CUP: D41E14000700001 - PROTOCOLLO NORMALIZZATO: PE-SCF-OOPP-01636. Rendicontazione prima rata e trasferimento seconda rata</t>
  </si>
  <si>
    <t>Scuola materna in Via de Gasperi - Comune di Avezzano (AQ). CUP: J31E13000490005 - PROTOCOLLO NORMALIZZATO AQ-AVZ-OOPP-05032. Rendicontazione seconda rata e trasferimento terza rata</t>
  </si>
  <si>
    <t>intervento di ripristino dell’accessibilità e della fruibilità degli spazi pubblici e delle pubbliche vie. Comune di Prata d’Ansidonia. LOTTO 5. Liquidazione somme SAL finale lavori</t>
  </si>
  <si>
    <t>messa in sicurezza post sisma del 06/04/2009 fabbricato in loc. San Giovanni - fg. 4 part. 827. Comune di San Demetrio ne’ Vestini. Trasferimento risorse per liquidazione SAL unico e finale e competenze tecniche</t>
  </si>
  <si>
    <t>progetto definitivo esecutivo per lavori di manutenzione straordinaria del cimitero comunale subordinato alla messa in sicurezza per la pubblica incolumità - Comune di Santo Stefano di Sessanio. Trasferimento somme per SAL Finale</t>
  </si>
  <si>
    <t>nuova costruzione di un complesso scolastico destinato ad ospitare la scuola primaria e secondaria di primo grado e una palestra a uso comune – Comune di Raiano CUP: I29H11000400005 - PROTOCOLLO NORMALIZZATO: AQ-RAN-OOPP-01270. Rendicontazione IV acconto e trasferimento saldo</t>
  </si>
  <si>
    <t>scuola media - Comune di Castilenti CUP: I41H13001120001 - PROTOCOLLO NORMALIZZATO: TE-CST-OOPP-04531. Rendicontazione prima rata e trasferimento seconda rata</t>
  </si>
  <si>
    <t>istituto comprensivo via Puglie - Comune di Avezzano CUP: J37B15000230001 - PROTOCOLLO NORMALIZZATO: AQ-AVZ-OOPP-01690. Rendicontazione primo e secondo acconto e trasferimento terzo acconto</t>
  </si>
  <si>
    <t>Assegnazione e erogazione fondi per il finanziamento del “Safe Community – Progetto di videosorveglianza integrata dei comuni del cratere sismico” - Acconto – Montorio al Vomano (Te)</t>
  </si>
  <si>
    <t>Trasferimento fondi finanziamento del “Safe Community – Progetto di videosorveglianza integrata dei comuni del cratere sismico” – Saldo – Civitella Casanova (PE)</t>
  </si>
  <si>
    <t>TRASFERIMENTO RISORSE FINALIZZATE ALLA RICOSTRUZIONE PRIVATA FUORI CRATERE - Delibera CIPE 22/2015 – Delibera CIPE 58/2017- Comune di ANVERSA DEGLI ABRUZZI (AQ)</t>
  </si>
  <si>
    <t>COMUNE DI TORRICELLA SICURA</t>
  </si>
  <si>
    <t>CF 80003050673</t>
  </si>
  <si>
    <t>TRASFERIMENTO RISORSE FINALIZZATE ALLA RICOSTRUZIONE PRIVATA FUORI CRATERE - Delibera CIPE 22/2015 Comune di TORRICELLA SICURA (TE)</t>
  </si>
  <si>
    <t>lavori di riparazione dei danni a seguito degli eventi sismici del 06/04/2009 e ristrutturazione con miglioramento sismico dell’edificio sede comunale - Comune di Barisciano (AQ) – Presa d’atto della perizia di variante, rimborso somme erogate relative alla terza e quarta rata in acconto (SAL 3, SAL 4, lavori in economia e opere di restauro)</t>
  </si>
  <si>
    <t>riparazione danni sisma 2009 edilizia cimiteriale - Comune di Colledara (TE) – Erogazione acconto 20%</t>
  </si>
  <si>
    <t>intervento di consolidamento e ripristino ambientale del versante EST in prossimità aggregato 9 - Comune di Civitella Casanova (PE) – erogazione acconto 20%</t>
  </si>
  <si>
    <t>intervento di consolidamento e ripristino ambientale del versante EST in prossimità degli aggregati 22 47 - Comune di Civitella Casanova (PE) – erogazione acconto 20%</t>
  </si>
  <si>
    <t>intervento di messa in sicurezza del costone prospiciente il plesso scolastico A. De Gasperi attraverso il consolidamento e la riqualificazione - Comune di Montebello di Bertona (PE). Trasferimento somme relative a collaudatore, RUP, contributo ANAC e spese di gara</t>
  </si>
  <si>
    <t>intervento di messa in sicurezza del pendio in c.da la Chiusa - Comune di Goriano Sicoli (AQ) – trasferimento somme per SAL 1 e SAL finale</t>
  </si>
  <si>
    <t>intervento di lavori di riparazione edilizia cimiteriale - Comune di Fossa (AQ) – trasferimento somme per anticipazione contrattuale, indagini, competenze tecniche e altre somme a disposizione</t>
  </si>
  <si>
    <t>lavori di riparazione spazio pubblico annesso alla sede municipale - Comune di Fontecchio (AQ). Erogazione somme SAL 2</t>
  </si>
  <si>
    <t>lavori di ripristino e risanamento dell’area cimiteriale del Comune di Gagliano Aterno danneggiata dal sisma de 6 aprile 2009 - Comune di Gagliano Aterno (AQ) – trasferimento somme per SAL 1 e spese tecniche</t>
  </si>
  <si>
    <t>intervento di sistemazione e messa in sicurezza dei ruderi siti a Rocca Calascio in seguito al sisma del 6 aprile 2009 - Comune di Calascio (AQ) Lotto II. Trasferimento risorse relative al SAL 2, spese tecniche e incentivo RUP</t>
  </si>
  <si>
    <t>lavori di messa in sicurezza muri di contenimento - Comune di Roccacasale (AQ). Opere di Completamento. Liquidazione SAL Unico</t>
  </si>
  <si>
    <t>Scuola Elementare - Comune di Navelli (AQ). CUP H16B14000010001 PROT. NORM. AQ-NAV-OOPP-01428. Progetto di completamento, trasferimento risorse per spese tecniche</t>
  </si>
  <si>
    <t>TRASFERIMENTO RISORSE FINALIZZATE ALLA RICOSTRUZIONE PRIVATA - Delibera CIPE 113/2015– Comune di POPOLI (PE). Rif. Richiesta Comune Prot. n. 14988 del 09/10/2019.</t>
  </si>
  <si>
    <t>TRASFERIMENTO RISORSE FINALIZZATE ALLA RICOSTRUZIONE PRIVATA - Delibera CIPE 113/2015– Comune di ACCIANO (AQ). Rif. Richiesta Comune Prot. n. 2772 del 23/09/2019</t>
  </si>
  <si>
    <t>TRASFERIMENTO RISORSE FINALIZZATE ALLA RICOSTRUZIONE PRIVATA - Delibera CIPE 113/2015– Comune di SANT’EUSANIO FORCONESE (AQ). Rif. Richiesta Comune Prot. n. 2158 del 11/09/2019.</t>
  </si>
  <si>
    <t>RENDICONTAZIONE CO.CO.CO. (MAGGIO-DICEMBRE 2018)</t>
  </si>
  <si>
    <t>RENDICONTAZIONE CO.CO.CO. (APRILE AL 13 GIUGNO 2018 E DAL 14 NOVEMBRE AL DICEMBRE 2018)</t>
  </si>
  <si>
    <t>RENDICONTAZIONE CO.CO.CO. (SETTEMBRE-DICEMBRE 2018)</t>
  </si>
  <si>
    <t>RENDICONTAZIONE CO.CO.CO. (LUGLIO-DICEMBRE 2018)</t>
  </si>
  <si>
    <t>RENDICONTAZIONE CO.CO.CO. (GENNAIO-AGOSTO 2019)</t>
  </si>
  <si>
    <t>CODFIN CIPE55/2018</t>
  </si>
  <si>
    <t>RENDICONTAZIONE CO.CO.CO. ( GENNAIO-APRILE 2019)</t>
  </si>
  <si>
    <t>RENDICONTAZIONE CO.CO.CO. (GENNAIO-MAGGIO 2019)</t>
  </si>
  <si>
    <t>RENDICONTAZIONE CO.CO.CO. (GENNAIO-GIUGNO 2019)</t>
  </si>
  <si>
    <t>RENDICONTAZIONE CO.CO.CO. (GENNAIO-MARZO 2019)</t>
  </si>
  <si>
    <t>RENDICONTAZIONE CO.CO.CO. (15 GENNAIO-28 FEBBRAIO e MARZO-AGOSTO 2019)</t>
  </si>
  <si>
    <t>Trasferimento fondi finanziamento del “Safe Community – Progetto di videosorveglianza integrata dei comuni del cratere sismico” – Saldo – Cugnoli (PE)</t>
  </si>
  <si>
    <t>TRASFERIMENTO RISORSE FINALIZZATE ALLA RICOSTRUZIONE PRIVATA FUORI CRATERE - Delibera CIPE 22/2015 – Delibera CIPE 58/2017- Comune di CASTIGLIONE MESSER RAIMONDO (TE)</t>
  </si>
  <si>
    <t>TRASFERIMENTO RISORSE FINALIZZATE ALLA RICOSTRUZIONE PRIVATA FUORI CRATERE - Delibera CIPE 22/2015 – Delibera 50/2013 - Comune di ISOLA DEL GRAN SASSO D’ITALIA (TE)</t>
  </si>
  <si>
    <t>Determina 722 del 29/11/2019</t>
  </si>
  <si>
    <t>demolizione fabbricato via Ricasso - Comune di Vittorito (AQ). Trasferimento risorse a saldo per competenze tecniche</t>
  </si>
  <si>
    <t>lavori di recupero di Palazzo Alesi. Comune di Bugnara. Trasferimento somme al SAL 7</t>
  </si>
  <si>
    <t>TRASFERIMENTO RISORSE FINALIZZATE ALLA RICOSTRUZIONE PRIVATA - Delibera CIPE 113/2015– Comune di POGGIO PICENZE (AQ). Rif. Richiesta Comune Prot. n. 2292 del 11.10.2019, sostituito con Prot. n. 2618 del 15.11.2019</t>
  </si>
  <si>
    <t>TRASFERIMENTO RISORSE FINALIZZATE ALLA RICOSTRUZIONE PRIVATA - Delibera CIPE 113/2015 – Comune di NAVELLI (AQ). Rif. Richiesta Comune Prot. n. 4197 del 07/11/2019</t>
  </si>
  <si>
    <t>Spese assistenziali - Erogazione fondi per “CONTRIBUTO AUTONOMA SISTEMAZIONE” – Comune di Gagliano Aterno. Annualità 2016 (periodo Novembre - dicembre). Richiesta Comune Prot. 1698 del 05/09/2019.</t>
  </si>
  <si>
    <t>CODFIN CIPE78/2015 ANNUALITA' 2016</t>
  </si>
  <si>
    <t>Spese assistenziali - Erogazione fondi per “CONTRIBUTO AUTONOMA SISTEMAZIONE” – Comune di Gagliano Aterno. Annualità 2017 (periodo Gennaio - dicembre). Richiesta Comune Prot. 1698 del 05/09/2019.</t>
  </si>
  <si>
    <t>CODFIN CIPE114/2017 ANNUALITA' 2017</t>
  </si>
  <si>
    <t>Spese assistenziali - Erogazione fondi per “CONTRIBUTO AUTONOMA SISTEMAZIONE” – Comune di Bussi sul Tirino. Annualità 2018 (periodo dicembre). Richiesta Comune Prot. 796/2018.</t>
  </si>
  <si>
    <t>CODFIN CIPE135/2012</t>
  </si>
  <si>
    <t>Spese assistenziali - Erogazione fondi per “CONTRIBUTO AUTONOMA SISTEMAZIONE” – Comune di Capestrano. Annualità 2018 (periodo luglio-novembre). Richiesta Comune Prot. 484 del 18/02/2019</t>
  </si>
  <si>
    <t>Spese assistenziali - Erogazione fondi per “CONTRIBUTO AUTONOMA SISTEMAZIONE” – Comune di Caporciano. Annualità 2018 (periodo ottobre - dicembre). Richiesta Comune Prot. 1849 del 01/07/2019.</t>
  </si>
  <si>
    <t>Spese assistenziali - Erogazione fondi per “CONTRIBUTO AUTONOMA SISTEMAZIONE” – Comune di Gagliano Aterno. Annualità 2018 (periodo gennaio - aprile). Richiesta Comune Prot. 1698 del 11/07/2018.</t>
  </si>
  <si>
    <t>Spese assistenziali - Erogazione fondi per “CONTRIBUTO AUTONOMA SISTEMAZIONE” – Comune di Montorio al Vomano. Annualità 2018 (periodo luglio - agosto). Richiesta Comune Prot. 13010 del 17/09/2018.</t>
  </si>
  <si>
    <t>Spese assistenziali - Erogazione fondi per “CONTRIBUTO AUTONOMA SISTEMAZIONE” – Comune di Ocre. Annualità 2018 (periodo gennaio - dicembre). Richiesta Comune Prot. 1960 del 08/08/2018 e Prot. 372 del 19/02/2019</t>
  </si>
  <si>
    <t>Spese assistenziali - Erogazione fondi per “CONTRIBUTO AUTONOMA SISTEMAZIONE” – Comune di Ofena. Annualità 2018 (periodo agosto-dicembre). Richiesta Comune Prot. 297 del 06/02/2019.</t>
  </si>
  <si>
    <t>scuola elementare San Simeo - Comune di Avezzano (AQ). CUP: J34B14000050001 - PROTOCOLLO NORMALIZZATO AQ-AVZ-OOPP-01379. Rendicontazione saldo a valere sulla seconda rata e trasferimento anticipazione rata finale</t>
  </si>
  <si>
    <t>scuola materna e media - Comune di Montebello di Bertona CUP: G64E13002290006 - PROTOCOLLO NORMALIZZATO: PE-MDB-OOPP-04528. Rendicontazione seconda rata e trasferimento terza rata</t>
  </si>
  <si>
    <t>scuola media - Comune di Castel di Sangro. CUP: F74B13000340001 - PROTOCOLLO NORMALIZZATO AQ-CDS-OOPP-04443. Rendicontazione quarta rata, trasferimento quinta rata</t>
  </si>
  <si>
    <t>intervento di messa in sicurezza di via sotto le stalle FABBRICATI FG.1, PART.634, 635 e 632 - Comune di Castel di Ieri (AQ). Trasferimento somme SAL 01</t>
  </si>
  <si>
    <t>CODFIN CIPE78art1co1</t>
  </si>
  <si>
    <t>lavori di riparazione dell’edilizia cimiteriale danneggiata dal siam del 06/04/2009 nel comune di Caporciano (AQ). Trasferimento somme per SAL finale</t>
  </si>
  <si>
    <t>intervento di messa in sicurezza del costone prospiciente il plesso scolastico A. De Gasperi attraverso il consolidamento e la riqualificazione - Comune di Montebello di Bertona (PE). Trasferimento somme relative direzione lavori al SAL 3</t>
  </si>
  <si>
    <t>lavori di recupero e ristrutturazione dell’edificio ex scuola elementare “L. Volpicelli” da destinare a nuova sede comunale - Comune di San Demetrio ne’ Vestini (AQ). Trasferimento somme al SAL 8 e competenze tecniche</t>
  </si>
  <si>
    <t>interventi di manutenzione straordinaria MAP localizzati nelle frazioni di Cavalletto, Valle, San Felice “libertà” e “valloni”, San Martino e San Panfilo. Erogazione acconto 20% dell’importo contrattuale per lavori e competenze tecniche</t>
  </si>
  <si>
    <t>intervento di messa in sicurezza per cavità sotterranee in via Lago nel Comune di Capestrano a seguito degli eventi sismici del 06/04/2009. Comune di Capestrano. Erogazione SAL Finale e Spese tecniche.</t>
  </si>
  <si>
    <t>TRASFERIMENTO RISORSE FINALIZZATE ALLA RICOSTRUZIONE PRIVATA FUORI CRATERE - Delibera CIPE 22/2015 – Comune di MAGLIANO DEI MARSI (AQ)</t>
  </si>
  <si>
    <t>TRASFERIMENTO RISORSE FINALIZZATE ALLA RICOSTRUZIONE PRIVATA - Delibera CIPE 113/2015 – Comune di COCULLO (AQ). Rif. Richiesta Comune Prot. n. 2395 del 26/09/2019 sostituita con nota prot. n. 2894 del 25/11/2019</t>
  </si>
  <si>
    <t>TRASFERIMENTO RISORSE FINALIZZATE ALLA RICOSTRUZIONE PRIVATA - Delibera CIPE 113/2015– Comune di FOSSA (AQ). Rif. Richiesta Comune Prot. n. 3200 del 22/10/2019</t>
  </si>
  <si>
    <t>TRASFERIMENTO RISORSE FINALIZZATE ALLA RICOSTRUZIONE PRIVATA - Delibera CIPE 113/2015– Comune di OVINDOLI (AQ). Rif. Richiesta Comune Prot. n. 7904 del 26/09/2019 sostituita da n. 11877 del 19/11/2019.</t>
  </si>
  <si>
    <t>TRASFERIMENTO RISORSE FINALIZZATE ALLA RICOSTRUZIONE PRIVATA - Delibera CIPE 113/2015– Comune di OFENA (AQ). Rif. Richiesta Comune Prot. n. 2334 del 08/11/2019</t>
  </si>
  <si>
    <t>TRASFERIMENTO RISORSE FINALIZZATE ALLA RICOSTRUZIONE PRIVATA - Delibera CIPE 113/2015– Comune di SAN DEMETRIO NE’ VESTINI (AQ). Rif. Richiesta Comune Prot. n. 4214 del 21/10/2019 integrata con prot. n. 4715 del 02/12/2019.</t>
  </si>
  <si>
    <t>TRASFERIMENTO RISORSE FINALIZZATE ALLA RICOSTRUZIONE PRIVATA - Delibera CIPE 113/2015– Comune di VILLA SANTA LUCIA DEGLI ABRUZZI (AQ). Rif. Richiesta Comune Prot. n. 2436 del 31/10/2019 sostituita da prot. n. 2713 del 04/12/2019</t>
  </si>
  <si>
    <t>TRASFERIMENTO RISORSE FINALIZZATE ALLA RICOSTRUZIONE PRIVATA - Delibera CIPE 113/2015– Comune di CAPITIGNANO (AQ). Rif. Richiesta Comune Prot. n. 3207 del 06/07/2019.</t>
  </si>
  <si>
    <t>COMUNE DI VILLA CELIERA</t>
  </si>
  <si>
    <t>CF 00230080681</t>
  </si>
  <si>
    <t>TRASFERIMENTO RISORSE FINALIZZATE ALLA RICOSTRUZIONE PRIVATA FUORI CRATERE - Delibera CIPE 22/2015 – Comune di VILLA CELIERA (PE)</t>
  </si>
  <si>
    <t>intervento di recupero post sisma della sede municipale del Comune di Castelli. Erogazione acconto 20%</t>
  </si>
  <si>
    <t>Scuola elementare e Media F. Rossi CUP J31E1500010000 - PROTOCOLLO NORMALIZZATO AQ-SDV-OOPP-04501. Erogazione fondi per SAL 2 a valere sullo stanziamento della deliberazione CIPE 135/2012 e della deliberazione CIPE 47/2009</t>
  </si>
  <si>
    <t>COMUNE DI PENNE</t>
  </si>
  <si>
    <t>CF 00224710681</t>
  </si>
  <si>
    <t>TRASFERIMENTO RISORSE FINALIZZATE ALLA RICOSTRUZIONE PRIVATA FUORI CRATERE - Delibera CIPE 22/2015 – Comune di PENNE (PE)</t>
  </si>
  <si>
    <t>comune di Sulmona – Scuola Media “G. Capograssi”, approvazione contributo per la sistemazione provvisoria degli studenti durante l’esecuzione dei lavori di messa in sicurezza dell’edificio scolastico. Primo trasferimento</t>
  </si>
  <si>
    <t>COMUNE DI CASTELVECCHIO CALVISIO</t>
  </si>
  <si>
    <t>CF 00197730666</t>
  </si>
  <si>
    <t>TRASFERIMENTO RISORSE FINALIZZATE ALLA RICOSTRUZIONE PRIVATA - Delibera CIPE 113/2015– Comune di CASTELVECCHIO CALVISIO (AQ). Rif. Richiesta Comune Prot. n. 1789 del 12/11/2019.</t>
  </si>
  <si>
    <t>COMUNE DI ROSCIANO</t>
  </si>
  <si>
    <t>CF 00223210683</t>
  </si>
  <si>
    <t>TRASFERIMENTO RISORSE FINALIZZATE ALLA RICOSTRUZIONE PRIVATA FUORI CRATERE - Delibera CIPE 22/2015 – Comune di ROSCIANO (PE)</t>
  </si>
  <si>
    <t>Spese assistenziali - Erogazione fondi per “CONTRIBUTO AUTONOMA SISTEMAZIONE” – Comune di Isola del Gran Sasso d’Italia. Annualità 2016 (periodo febbraio - dicembre). Richiesta Comune prot. n. 5331 del 13/07/2018.</t>
  </si>
  <si>
    <t>Spese assistenziali - Erogazione fondi per “CONTRIBUTO AUTONOMA SISTEMAZIONE” – Comune di Bellante. Annualità 2018 (Gennaio - dicembre). Richiesta Comune prot. n. 8179 del 24/05/2019.</t>
  </si>
  <si>
    <t>CODFIN CIPE114/2017 ANNUALITA' 2018</t>
  </si>
  <si>
    <t>Spese assistenziali - Erogazione fondi per “CONTRIBUTO AUTONOMA SISTEMAZIONE” – Comune di Canzano. Annualità 2018 (periodo gennaio - dicembre). Richiesta Comune Prot. 1630 del 29/03/2018-1698 del 12/04/2019</t>
  </si>
  <si>
    <t>Spese assistenziali - Erogazione fondi per “CONTRIBUTO AUTONOMA SISTEMAZIONE” – Comune di Corfinio. Annualità 2018 (periodo gennaio - dicembre). Richiesta Comune prot. n. 990 del 21/02/2018, nota di trasmissione 2864 del 31/05/2018</t>
  </si>
  <si>
    <t>Spese assistenziali - Erogazione fondi per “CONTRIBUTO AUTONOMA SISTEMAZIONE” – Comune di Isola del Gran Sasso d’Italia. Annualità 2018 (periodo gennaio - novembre). Richiesta Comune prot. n. 5331 del 13/07/2018.</t>
  </si>
  <si>
    <t>Spese assistenziali - Erogazione fondi per “CONTRIBUTO AUTONOMA SISTEMAZIONE” – Comune di Manoppello. Annualità 2018 (periodo gennaio - dicembre). Richiesta Comune Prot. 4407 del 25/03/2019.</t>
  </si>
  <si>
    <t>Spese assistenziali - Erogazione fondi per “CONTRIBUTO AUTONOMA SISTEMAZIONE” – Comune di Pietranico. Annualità 2018 (periodo giugno - dicembre). Richiesta Comune prot. n. 679 del 01/03/2019.</t>
  </si>
  <si>
    <t>Spese assistenziali - Erogazione fondi per “CONTRIBUTO AUTONOMA SISTEMAZIONE” – Comune di Pratola Peligna. Annualità 2018 (periodo gennaio - dicembre). Richiesta Comune Prot. 7058 del 31/05/2019.</t>
  </si>
  <si>
    <t>COMUNE DI PREZZA</t>
  </si>
  <si>
    <t>CF 00189230667</t>
  </si>
  <si>
    <t>Spese assistenziali - Erogazione fondi per “CONTRIBUTO AUTONOMA SISTEMAZIONE” – Comune di Prezza. Annualità 2018 (periodo marzo - dicembre). Richiesta Comune prot. n. 1965 del 06/06/2019.</t>
  </si>
  <si>
    <t>Spese assistenziali - Erogazione fondi per “CONTRIBUTO AUTONOMA SISTEMAZIONE” – Comune di Raiano. Annualità 2018 (periodo giugno - dicembre). Richiesta Comune Prot. 4577/2018 del 05/06/2019</t>
  </si>
  <si>
    <t>Spese assistenziali - Erogazione fondi per “CONTRIBUTO AUTONOMA SISTEMAZIONE” – Comune di Teramo. Annualità 2018 (periodo novembre - dicembre). Richiesta Comune prot. n. 34168 del 30/05/2019.</t>
  </si>
  <si>
    <t>Spese assistenziali - Erogazione fondi per “CONTRIBUTO AUTONOMA SISTEMAZIONE” – Comune di Tocco da Casauria. Annualità 2018 (periodo novembre - dicembre). Richiesta Comune prot. n. 479 del 18/01/2019.</t>
  </si>
  <si>
    <t>Spese assistenziali - Erogazione fondi per “CONTRIBUTO AUTONOMA SISTEMAZIONE” – Comune di Vittorito. Annualità 2018 (periodo luglio - dicembre). Richiesta Comune Prot. 2329 del 11/07/2019</t>
  </si>
  <si>
    <t>TRASFERIMENTO RISORSE FINALIZZATE ALLA RICOSTRUZIONE PRIVATA FUORI CRATERE - Delibera CIPE 22/2015 – Comune di SANT’EUFEMIA A MAIELLA (PE)</t>
  </si>
  <si>
    <t>COMUNE DI MONTEFINO</t>
  </si>
  <si>
    <t>CF 81000330670</t>
  </si>
  <si>
    <t>TRASFERIMENTO RISORSE FINALIZZATE ALLA RICOSTRUZIONE PRIVATA FUORI CRATERE Delibera CIPE 50/2013 e Delibera CIPE 58/2017– Comune di MONTEFINO (TE)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</si>
</sst>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0">
    <font>
      <sz val="11.0"/>
      <color rgb="FF000000"/>
      <name val="Calibri"/>
    </font>
    <font>
      <b/>
    </font>
    <font>
      <b/>
      <sz val="11.0"/>
      <color rgb="FF000000"/>
      <name val="Calibri"/>
    </font>
    <font>
      <u/>
      <sz val="11.0"/>
      <color rgb="FF000000"/>
      <name val="Calibri"/>
    </font>
    <font>
      <u/>
      <sz val="11.0"/>
      <color rgb="FF000000"/>
      <name val="Calibri"/>
    </font>
    <font>
      <sz val="11.0"/>
      <name val="Calibri"/>
    </font>
    <font>
      <u/>
      <sz val="11.0"/>
      <color rgb="FF000000"/>
      <name val="Calibri"/>
    </font>
    <font>
      <u/>
      <sz val="11.0"/>
      <color rgb="FF000000"/>
      <name val="Calibri"/>
    </font>
    <font>
      <u/>
      <sz val="11.0"/>
      <color rgb="FF000000"/>
      <name val="Calibri"/>
    </font>
    <font>
      <u/>
      <sz val="11.0"/>
      <color rgb="FF000000"/>
      <name val="Calibri"/>
    </font>
  </fonts>
  <fills count="4">
    <fill>
      <patternFill patternType="none"/>
    </fill>
    <fill>
      <patternFill patternType="lightGray"/>
    </fill>
    <fill>
      <patternFill patternType="solid">
        <fgColor rgb="FFFFFF00"/>
        <bgColor rgb="FFFFFF00"/>
      </patternFill>
    </fill>
    <fill>
      <patternFill patternType="solid">
        <fgColor rgb="FFFFFFFF"/>
        <bgColor rgb="FFFFFFFF"/>
      </patternFill>
    </fill>
  </fills>
  <borders count="11">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C0C0C0"/>
      </left>
      <right style="thin">
        <color rgb="FFC0C0C0"/>
      </right>
      <top style="thin">
        <color rgb="FFC0C0C0"/>
      </top>
      <bottom style="thin">
        <color rgb="FFC0C0C0"/>
      </bottom>
    </border>
    <border>
      <top style="thin">
        <color rgb="FF95B3D7"/>
      </top>
    </border>
    <border>
      <top style="thin">
        <color rgb="FF95B3D7"/>
      </top>
      <bottom style="thin">
        <color rgb="FF95B3D7"/>
      </bottom>
    </border>
    <border>
      <left style="thin">
        <color rgb="FFC0C0C0"/>
      </left>
      <right style="thin">
        <color rgb="FFC0C0C0"/>
      </right>
      <bottom style="thin">
        <color rgb="FFC0C0C0"/>
      </bottom>
    </border>
    <border>
      <right style="thin">
        <color rgb="FF000000"/>
      </right>
      <top style="thin">
        <color rgb="FF000000"/>
      </top>
      <bottom style="thin">
        <color rgb="FF000000"/>
      </bottom>
    </border>
    <border>
      <right style="thin">
        <color rgb="FF000000"/>
      </right>
      <bottom style="thin">
        <color rgb="FF000000"/>
      </bottom>
    </border>
    <border>
      <top style="thin">
        <color rgb="FF95B3D7"/>
      </top>
      <bottom style="thin">
        <color rgb="FF000000"/>
      </bottom>
    </border>
    <border>
      <right style="thin">
        <color rgb="FF000000"/>
      </right>
    </border>
  </borders>
  <cellStyleXfs count="1">
    <xf borderId="0" fillId="0" fontId="0" numFmtId="0" applyAlignment="1" applyFont="1"/>
  </cellStyleXfs>
  <cellXfs count="59">
    <xf borderId="0" fillId="0" fontId="0" numFmtId="0" xfId="0" applyAlignment="1" applyFont="1">
      <alignment readingOrder="0" shrinkToFit="0" vertical="bottom" wrapText="0"/>
    </xf>
    <xf borderId="1" fillId="2" fontId="1" numFmtId="0" xfId="0" applyAlignment="1" applyBorder="1" applyFill="1" applyFont="1">
      <alignment horizontal="center" readingOrder="0" vertical="center"/>
    </xf>
    <xf borderId="1" fillId="2" fontId="2" numFmtId="0" xfId="0" applyAlignment="1" applyBorder="1" applyFont="1">
      <alignment horizontal="center" readingOrder="0" shrinkToFit="0" vertical="center" wrapText="0"/>
    </xf>
    <xf borderId="1" fillId="2" fontId="1" numFmtId="4" xfId="0" applyAlignment="1" applyBorder="1" applyFont="1" applyNumberFormat="1">
      <alignment horizontal="center" readingOrder="0" vertical="center"/>
    </xf>
    <xf borderId="2" fillId="0" fontId="0" numFmtId="0" xfId="0" applyAlignment="1" applyBorder="1" applyFont="1">
      <alignment horizontal="left" readingOrder="0" shrinkToFit="0" vertical="bottom" wrapText="0"/>
    </xf>
    <xf borderId="2" fillId="0" fontId="0" numFmtId="0" xfId="0" applyAlignment="1" applyBorder="1" applyFont="1">
      <alignment horizontal="center" readingOrder="0" shrinkToFit="0" vertical="bottom" wrapText="0"/>
    </xf>
    <xf borderId="2" fillId="0" fontId="0" numFmtId="164" xfId="0" applyAlignment="1" applyBorder="1" applyFont="1" applyNumberFormat="1">
      <alignment horizontal="right" readingOrder="0" shrinkToFit="0" wrapText="0"/>
    </xf>
    <xf borderId="2" fillId="0" fontId="3" numFmtId="0" xfId="0" applyAlignment="1" applyBorder="1" applyFont="1">
      <alignment horizontal="left" readingOrder="0" shrinkToFit="0" vertical="bottom" wrapText="0"/>
    </xf>
    <xf borderId="2" fillId="0" fontId="0" numFmtId="0" xfId="0" applyAlignment="1" applyBorder="1" applyFont="1">
      <alignment horizontal="left" readingOrder="0" vertical="bottom"/>
    </xf>
    <xf borderId="2" fillId="0" fontId="0" numFmtId="0" xfId="0" applyAlignment="1" applyBorder="1" applyFont="1">
      <alignment readingOrder="0" shrinkToFit="0" vertical="bottom" wrapText="0"/>
    </xf>
    <xf borderId="0" fillId="0" fontId="0" numFmtId="0" xfId="0" applyAlignment="1" applyFont="1">
      <alignment shrinkToFit="0" wrapText="0"/>
    </xf>
    <xf borderId="0" fillId="0" fontId="0" numFmtId="0" xfId="0" applyAlignment="1" applyFont="1">
      <alignment horizontal="center" readingOrder="0" shrinkToFit="0" vertical="bottom" wrapText="0"/>
    </xf>
    <xf borderId="2" fillId="0" fontId="0" numFmtId="0" xfId="0" applyAlignment="1" applyBorder="1" applyFont="1">
      <alignment readingOrder="0"/>
    </xf>
    <xf borderId="2" fillId="0" fontId="0" numFmtId="0" xfId="0" applyAlignment="1" applyBorder="1" applyFont="1">
      <alignment horizontal="center" readingOrder="0" shrinkToFit="0" wrapText="0"/>
    </xf>
    <xf borderId="2" fillId="0" fontId="0" numFmtId="164" xfId="0" applyAlignment="1" applyBorder="1" applyFont="1" applyNumberFormat="1">
      <alignment horizontal="right" readingOrder="0"/>
    </xf>
    <xf borderId="2" fillId="3" fontId="4" numFmtId="0" xfId="0" applyAlignment="1" applyBorder="1" applyFill="1" applyFont="1">
      <alignment horizontal="left" readingOrder="0"/>
    </xf>
    <xf borderId="2" fillId="3" fontId="5" numFmtId="0" xfId="0" applyAlignment="1" applyBorder="1" applyFont="1">
      <alignment horizontal="left" readingOrder="0"/>
    </xf>
    <xf borderId="2" fillId="0" fontId="0" numFmtId="0" xfId="0" applyAlignment="1" applyBorder="1" applyFont="1">
      <alignment horizontal="center" readingOrder="0"/>
    </xf>
    <xf borderId="2" fillId="0" fontId="0" numFmtId="0" xfId="0" applyAlignment="1" applyBorder="1" applyFont="1">
      <alignment readingOrder="0" shrinkToFit="0" wrapText="0"/>
    </xf>
    <xf borderId="2" fillId="0" fontId="0" numFmtId="164" xfId="0" applyAlignment="1" applyBorder="1" applyFont="1" applyNumberFormat="1">
      <alignment horizontal="right" readingOrder="0" vertical="bottom"/>
    </xf>
    <xf borderId="2" fillId="0" fontId="6" numFmtId="0" xfId="0" applyAlignment="1" applyBorder="1" applyFont="1">
      <alignment horizontal="left" readingOrder="0"/>
    </xf>
    <xf borderId="2" fillId="3" fontId="0" numFmtId="0" xfId="0" applyAlignment="1" applyBorder="1" applyFont="1">
      <alignment readingOrder="0"/>
    </xf>
    <xf borderId="2" fillId="0" fontId="0" numFmtId="0" xfId="0" applyAlignment="1" applyBorder="1" applyFont="1">
      <alignment horizontal="left" readingOrder="0"/>
    </xf>
    <xf borderId="2" fillId="0" fontId="0" numFmtId="0" xfId="0" applyAlignment="1" applyBorder="1" applyFont="1">
      <alignment horizontal="center" readingOrder="0" vertical="bottom"/>
    </xf>
    <xf borderId="3" fillId="0" fontId="0" numFmtId="0" xfId="0" applyAlignment="1" applyBorder="1" applyFont="1">
      <alignment horizontal="center" readingOrder="0" shrinkToFit="0" vertical="bottom" wrapText="0"/>
    </xf>
    <xf borderId="2" fillId="3" fontId="5" numFmtId="0" xfId="0" applyAlignment="1" applyBorder="1" applyFont="1">
      <alignment horizontal="center" readingOrder="0"/>
    </xf>
    <xf borderId="4" fillId="0" fontId="0" numFmtId="0" xfId="0" applyAlignment="1" applyBorder="1" applyFont="1">
      <alignment horizontal="center" readingOrder="0" shrinkToFit="0" vertical="bottom" wrapText="0"/>
    </xf>
    <xf borderId="2" fillId="0" fontId="0" numFmtId="0" xfId="0" applyAlignment="1" applyBorder="1" applyFont="1">
      <alignment readingOrder="0" vertical="bottom"/>
    </xf>
    <xf borderId="0" fillId="3" fontId="5" numFmtId="0" xfId="0" applyAlignment="1" applyFont="1">
      <alignment horizontal="center" readingOrder="0"/>
    </xf>
    <xf borderId="5" fillId="0" fontId="0" numFmtId="0" xfId="0" applyAlignment="1" applyBorder="1" applyFont="1">
      <alignment horizontal="center" readingOrder="0" shrinkToFit="0" vertical="bottom" wrapText="0"/>
    </xf>
    <xf borderId="6" fillId="3" fontId="5" numFmtId="0" xfId="0" applyAlignment="1" applyBorder="1" applyFont="1">
      <alignment horizontal="center" readingOrder="0"/>
    </xf>
    <xf borderId="2" fillId="3" fontId="0" numFmtId="0" xfId="0" applyAlignment="1" applyBorder="1" applyFont="1">
      <alignment horizontal="center" readingOrder="0" shrinkToFit="0" wrapText="0"/>
    </xf>
    <xf borderId="7" fillId="0" fontId="0" numFmtId="0" xfId="0" applyAlignment="1" applyBorder="1" applyFont="1">
      <alignment horizontal="center" readingOrder="0" shrinkToFit="0" vertical="bottom" wrapText="0"/>
    </xf>
    <xf borderId="8" fillId="0" fontId="0" numFmtId="0" xfId="0" applyAlignment="1" applyBorder="1" applyFont="1">
      <alignment horizontal="center" readingOrder="0" shrinkToFit="0" wrapText="0"/>
    </xf>
    <xf borderId="7" fillId="0" fontId="0" numFmtId="0" xfId="0" applyAlignment="1" applyBorder="1" applyFont="1">
      <alignment horizontal="center" readingOrder="0" shrinkToFit="0" wrapText="0"/>
    </xf>
    <xf borderId="2" fillId="0" fontId="0" numFmtId="0" xfId="0" applyAlignment="1" applyBorder="1" applyFont="1">
      <alignment horizontal="right" readingOrder="0" shrinkToFit="0" vertical="bottom" wrapText="0"/>
    </xf>
    <xf borderId="8" fillId="0" fontId="0" numFmtId="0" xfId="0" applyAlignment="1" applyBorder="1" applyFont="1">
      <alignment horizontal="right" readingOrder="0" shrinkToFit="0" vertical="bottom" wrapText="0"/>
    </xf>
    <xf borderId="2" fillId="3" fontId="5" numFmtId="0" xfId="0" applyAlignment="1" applyBorder="1" applyFont="1">
      <alignment horizontal="right" readingOrder="0"/>
    </xf>
    <xf borderId="2" fillId="0" fontId="0" numFmtId="0" xfId="0" applyAlignment="1" applyBorder="1" applyFont="1">
      <alignment horizontal="right" readingOrder="0" shrinkToFit="0" wrapText="0"/>
    </xf>
    <xf borderId="9" fillId="0" fontId="0" numFmtId="0" xfId="0" applyAlignment="1" applyBorder="1" applyFont="1">
      <alignment horizontal="right" readingOrder="0" shrinkToFit="0" vertical="bottom" wrapText="0"/>
    </xf>
    <xf borderId="7" fillId="3" fontId="7" numFmtId="0" xfId="0" applyAlignment="1" applyBorder="1" applyFont="1">
      <alignment horizontal="left" readingOrder="0"/>
    </xf>
    <xf borderId="7" fillId="0" fontId="0" numFmtId="0" xfId="0" applyAlignment="1" applyBorder="1" applyFont="1">
      <alignment readingOrder="0"/>
    </xf>
    <xf borderId="7" fillId="0" fontId="0" numFmtId="0" xfId="0" applyAlignment="1" applyBorder="1" applyFont="1">
      <alignment readingOrder="0" shrinkToFit="0" wrapText="0"/>
    </xf>
    <xf borderId="2" fillId="0" fontId="0" numFmtId="0" xfId="0" applyAlignment="1" applyBorder="1" applyFont="1">
      <alignment horizontal="right" readingOrder="0" vertical="bottom"/>
    </xf>
    <xf borderId="2" fillId="0" fontId="0" numFmtId="164" xfId="0" applyAlignment="1" applyBorder="1" applyFont="1" applyNumberFormat="1">
      <alignment readingOrder="0" shrinkToFit="0" vertical="bottom" wrapText="0"/>
    </xf>
    <xf borderId="2" fillId="0" fontId="0" numFmtId="164" xfId="0" applyAlignment="1" applyBorder="1" applyFont="1" applyNumberFormat="1">
      <alignment horizontal="right" readingOrder="0" shrinkToFit="0" vertical="bottom" wrapText="0"/>
    </xf>
    <xf borderId="1" fillId="0" fontId="0" numFmtId="0" xfId="0" applyAlignment="1" applyBorder="1" applyFont="1">
      <alignment horizontal="left" readingOrder="0"/>
    </xf>
    <xf borderId="2" fillId="0" fontId="0" numFmtId="0" xfId="0" applyAlignment="1" applyBorder="1" applyFont="1">
      <alignment horizontal="left" readingOrder="0" shrinkToFit="0" wrapText="0"/>
    </xf>
    <xf borderId="2" fillId="0" fontId="0" numFmtId="164" xfId="0" applyAlignment="1" applyBorder="1" applyFont="1" applyNumberFormat="1">
      <alignment readingOrder="0" shrinkToFit="0" wrapText="0"/>
    </xf>
    <xf borderId="2" fillId="0" fontId="8" numFmtId="0" xfId="0" applyAlignment="1" applyBorder="1" applyFont="1">
      <alignment horizontal="left" readingOrder="0" shrinkToFit="0" wrapText="0"/>
    </xf>
    <xf borderId="2" fillId="0" fontId="9" numFmtId="0" xfId="0" applyAlignment="1" applyBorder="1" applyFont="1">
      <alignment readingOrder="0" shrinkToFit="0" vertical="bottom" wrapText="0"/>
    </xf>
    <xf borderId="10" fillId="0" fontId="0" numFmtId="0" xfId="0" applyAlignment="1" applyBorder="1" applyFont="1">
      <alignment horizontal="right" readingOrder="0" shrinkToFit="0" vertical="bottom" wrapText="0"/>
    </xf>
    <xf borderId="0" fillId="0" fontId="0" numFmtId="0" xfId="0" applyAlignment="1" applyFont="1">
      <alignment horizontal="right" readingOrder="0" shrinkToFit="0" vertical="bottom" wrapText="0"/>
    </xf>
    <xf borderId="2" fillId="3" fontId="0" numFmtId="0" xfId="0" applyAlignment="1" applyBorder="1" applyFont="1">
      <alignment horizontal="left" readingOrder="0" shrinkToFit="0" vertical="bottom" wrapText="0"/>
    </xf>
    <xf borderId="0" fillId="0" fontId="0" numFmtId="0" xfId="0" applyAlignment="1" applyFont="1">
      <alignment readingOrder="0"/>
    </xf>
    <xf borderId="0" fillId="0" fontId="0" numFmtId="164" xfId="0" applyAlignment="1" applyFont="1" applyNumberFormat="1">
      <alignment horizontal="center" readingOrder="0" shrinkToFit="0" wrapText="0"/>
    </xf>
    <xf borderId="0" fillId="3" fontId="0" numFmtId="0" xfId="0" applyAlignment="1" applyFont="1">
      <alignment horizontal="left" readingOrder="0"/>
    </xf>
    <xf borderId="0" fillId="0" fontId="0" numFmtId="0" xfId="0" applyAlignment="1" applyFont="1">
      <alignment horizontal="center" readingOrder="0"/>
    </xf>
    <xf borderId="0" fillId="3" fontId="0"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1" width="47.43"/>
    <col customWidth="1" min="2" max="2" width="26.86"/>
    <col customWidth="1" min="3" max="3" width="22.14"/>
    <col customWidth="1" min="4" max="4" width="37.14"/>
    <col customWidth="1" min="5" max="5" width="268.29"/>
    <col customWidth="1" min="6" max="6" width="9.86"/>
    <col customWidth="1" min="7" max="7" width="72.14"/>
    <col customWidth="1" min="8" max="11" width="42.71"/>
  </cols>
  <sheetData>
    <row r="1" ht="30.0" customHeight="1">
      <c r="A1" s="1" t="s">
        <v>0</v>
      </c>
      <c r="B1" s="2" t="s">
        <v>1</v>
      </c>
      <c r="C1" s="3" t="s">
        <v>2</v>
      </c>
      <c r="D1" s="1" t="s">
        <v>3</v>
      </c>
      <c r="E1" s="1" t="s">
        <v>4</v>
      </c>
      <c r="F1" s="1" t="s">
        <v>5</v>
      </c>
      <c r="G1" s="1" t="s">
        <v>6</v>
      </c>
      <c r="H1" s="1" t="s">
        <v>7</v>
      </c>
      <c r="I1" s="1" t="s">
        <v>8</v>
      </c>
      <c r="J1" s="1"/>
      <c r="K1" s="1"/>
    </row>
    <row r="2" ht="30.0" customHeight="1">
      <c r="A2" s="4" t="s">
        <v>9</v>
      </c>
      <c r="B2" s="5" t="s">
        <v>10</v>
      </c>
      <c r="C2" s="6">
        <v>2123632.47</v>
      </c>
      <c r="D2" s="7" t="str">
        <f>HYPERLINK("http://www.usrc.it/AppRendiConta/det_3_20190111.pdf","Determina 3 del 11/01/2019")</f>
        <v>Determina 3 del 11/01/2019</v>
      </c>
      <c r="E2" s="8" t="s">
        <v>11</v>
      </c>
      <c r="F2" s="5" t="s">
        <v>12</v>
      </c>
      <c r="G2" s="9" t="s">
        <v>13</v>
      </c>
      <c r="H2" s="10"/>
      <c r="I2" s="10"/>
      <c r="J2" s="10"/>
      <c r="K2" s="10"/>
    </row>
    <row r="3" ht="30.0" customHeight="1">
      <c r="A3" s="4" t="s">
        <v>14</v>
      </c>
      <c r="B3" s="5" t="s">
        <v>15</v>
      </c>
      <c r="C3" s="6">
        <v>463817.99</v>
      </c>
      <c r="D3" s="7" t="str">
        <f>HYPERLINK("http://www.usrc.it/AppRendiConta/det_9_20190114.pdf","Determina 9 del 14/01/2019")</f>
        <v>Determina 9 del 14/01/2019</v>
      </c>
      <c r="E3" s="8" t="s">
        <v>16</v>
      </c>
      <c r="F3" s="5" t="s">
        <v>12</v>
      </c>
      <c r="G3" s="9" t="s">
        <v>17</v>
      </c>
      <c r="H3" s="10"/>
      <c r="I3" s="10"/>
      <c r="J3" s="10"/>
      <c r="K3" s="10"/>
    </row>
    <row r="4" ht="30.0" customHeight="1">
      <c r="A4" s="4" t="s">
        <v>18</v>
      </c>
      <c r="B4" s="5" t="s">
        <v>19</v>
      </c>
      <c r="C4" s="6">
        <v>63477.03</v>
      </c>
      <c r="D4" s="7" t="str">
        <f>HYPERLINK("http://www.usrc.it/AppRendiConta/det_11_20190114.pdf","Determina 11 del 14/01/2019")</f>
        <v>Determina 11 del 14/01/2019</v>
      </c>
      <c r="E4" s="8" t="s">
        <v>20</v>
      </c>
      <c r="F4" s="5" t="s">
        <v>12</v>
      </c>
      <c r="G4" s="9" t="s">
        <v>21</v>
      </c>
      <c r="H4" s="10"/>
      <c r="I4" s="10"/>
      <c r="J4" s="10"/>
      <c r="K4" s="10"/>
    </row>
    <row r="5" ht="30.0" customHeight="1">
      <c r="A5" s="4" t="s">
        <v>22</v>
      </c>
      <c r="B5" s="5" t="s">
        <v>23</v>
      </c>
      <c r="C5" s="6">
        <v>594987.65</v>
      </c>
      <c r="D5" s="7" t="str">
        <f>HYPERLINK("http://www.usrc.it/AppRendiConta/det_12_20190114.pdf","Determina 12 del 14/01/2019")</f>
        <v>Determina 12 del 14/01/2019</v>
      </c>
      <c r="E5" s="8" t="s">
        <v>24</v>
      </c>
      <c r="F5" s="5" t="s">
        <v>12</v>
      </c>
      <c r="G5" s="9" t="s">
        <v>25</v>
      </c>
      <c r="H5" s="10"/>
      <c r="I5" s="10"/>
      <c r="J5" s="10"/>
      <c r="K5" s="10"/>
    </row>
    <row r="6" ht="30.0" customHeight="1">
      <c r="A6" s="4" t="s">
        <v>26</v>
      </c>
      <c r="B6" s="5" t="s">
        <v>27</v>
      </c>
      <c r="C6" s="6">
        <v>161000.0</v>
      </c>
      <c r="D6" s="7" t="str">
        <f>HYPERLINK("http://www.usrc.it/AppRendiConta/det_13_20190114.pdf","Determina 13 del 14/01/2019")</f>
        <v>Determina 13 del 14/01/2019</v>
      </c>
      <c r="E6" s="8" t="s">
        <v>28</v>
      </c>
      <c r="F6" s="11" t="s">
        <v>12</v>
      </c>
      <c r="G6" s="9" t="s">
        <v>25</v>
      </c>
      <c r="H6" s="10"/>
      <c r="I6" s="10"/>
      <c r="J6" s="10"/>
      <c r="K6" s="10"/>
    </row>
    <row r="7" ht="30.0" customHeight="1">
      <c r="A7" s="4" t="s">
        <v>29</v>
      </c>
      <c r="B7" s="5" t="s">
        <v>30</v>
      </c>
      <c r="C7" s="6">
        <v>291548.4</v>
      </c>
      <c r="D7" s="7" t="str">
        <f>HYPERLINK("http://www.usrc.it/AppRendiConta/det_14_20190114.pdf","Determina 14 del 14/01/2019")</f>
        <v>Determina 14 del 14/01/2019</v>
      </c>
      <c r="E7" s="8" t="s">
        <v>31</v>
      </c>
      <c r="F7" s="5" t="s">
        <v>12</v>
      </c>
      <c r="G7" s="9" t="s">
        <v>21</v>
      </c>
      <c r="H7" s="10"/>
      <c r="I7" s="10"/>
      <c r="J7" s="10"/>
      <c r="K7" s="10"/>
    </row>
    <row r="8" ht="30.0" customHeight="1">
      <c r="A8" s="4" t="s">
        <v>32</v>
      </c>
      <c r="B8" s="5" t="s">
        <v>33</v>
      </c>
      <c r="C8" s="6">
        <v>22137.39</v>
      </c>
      <c r="D8" s="7" t="str">
        <f>HYPERLINK("http://www.usrc.it/AppRendiConta/det_15_20190114.pdf","Determina 15 del 14/01/2019")</f>
        <v>Determina 15 del 14/01/2019</v>
      </c>
      <c r="E8" s="8" t="s">
        <v>34</v>
      </c>
      <c r="F8" s="5" t="s">
        <v>12</v>
      </c>
      <c r="G8" s="9" t="s">
        <v>35</v>
      </c>
      <c r="H8" s="10"/>
      <c r="I8" s="10"/>
      <c r="J8" s="10"/>
      <c r="K8" s="10"/>
    </row>
    <row r="9" ht="30.0" customHeight="1">
      <c r="A9" s="4" t="s">
        <v>36</v>
      </c>
      <c r="B9" s="5" t="s">
        <v>37</v>
      </c>
      <c r="C9" s="6">
        <v>27002.51</v>
      </c>
      <c r="D9" s="7" t="str">
        <f>HYPERLINK("http://www.usrc.it/AppRendiConta/det_16_20190114.pdf","Determina 16 del 14/01/2019")</f>
        <v>Determina 16 del 14/01/2019</v>
      </c>
      <c r="E9" s="8" t="s">
        <v>38</v>
      </c>
      <c r="F9" s="5" t="s">
        <v>12</v>
      </c>
      <c r="G9" s="9" t="s">
        <v>21</v>
      </c>
      <c r="H9" s="10"/>
      <c r="I9" s="10"/>
      <c r="J9" s="10"/>
      <c r="K9" s="10"/>
    </row>
    <row r="10" ht="30.0" customHeight="1">
      <c r="A10" s="4" t="s">
        <v>39</v>
      </c>
      <c r="B10" s="5" t="s">
        <v>40</v>
      </c>
      <c r="C10" s="6">
        <v>207763.12</v>
      </c>
      <c r="D10" s="7" t="str">
        <f>HYPERLINK("http://www.usrc.it/AppRendiConta/det_17_20190114.pdf","Determina 17 del 14/01/2019")</f>
        <v>Determina 17 del 14/01/2019</v>
      </c>
      <c r="E10" s="8" t="s">
        <v>41</v>
      </c>
      <c r="F10" s="5" t="s">
        <v>12</v>
      </c>
      <c r="G10" s="9" t="s">
        <v>21</v>
      </c>
      <c r="H10" s="10"/>
      <c r="I10" s="10"/>
      <c r="J10" s="10"/>
      <c r="K10" s="10"/>
    </row>
    <row r="11" ht="30.0" customHeight="1">
      <c r="A11" s="4" t="s">
        <v>42</v>
      </c>
      <c r="B11" s="5" t="s">
        <v>43</v>
      </c>
      <c r="C11" s="6">
        <v>157902.96</v>
      </c>
      <c r="D11" s="7" t="str">
        <f>HYPERLINK("http://www.usrc.it/AppRendiConta/det_18_20190114.pdf","Determina 18 del 14/01/2019")</f>
        <v>Determina 18 del 14/01/2019</v>
      </c>
      <c r="E11" s="8" t="s">
        <v>44</v>
      </c>
      <c r="F11" s="5" t="s">
        <v>12</v>
      </c>
      <c r="G11" s="9" t="s">
        <v>21</v>
      </c>
      <c r="H11" s="10"/>
      <c r="I11" s="10"/>
      <c r="J11" s="10"/>
      <c r="K11" s="10"/>
    </row>
    <row r="12" ht="30.0" customHeight="1">
      <c r="A12" s="4" t="s">
        <v>45</v>
      </c>
      <c r="B12" s="5" t="s">
        <v>46</v>
      </c>
      <c r="C12" s="6">
        <v>477495.99</v>
      </c>
      <c r="D12" s="7" t="str">
        <f>HYPERLINK("http://www.usrc.it/AppRendiConta/det_19_20190114.pdf","Determina 19 del 14/01/2019")</f>
        <v>Determina 19 del 14/01/2019</v>
      </c>
      <c r="E12" s="8" t="s">
        <v>47</v>
      </c>
      <c r="F12" s="5" t="s">
        <v>12</v>
      </c>
      <c r="G12" s="9" t="s">
        <v>17</v>
      </c>
      <c r="H12" s="10"/>
      <c r="I12" s="10"/>
      <c r="J12" s="10"/>
      <c r="K12" s="10"/>
    </row>
    <row r="13" ht="30.0" customHeight="1">
      <c r="A13" s="4" t="s">
        <v>48</v>
      </c>
      <c r="B13" s="5" t="s">
        <v>49</v>
      </c>
      <c r="C13" s="6">
        <v>62464.59</v>
      </c>
      <c r="D13" s="7" t="str">
        <f>HYPERLINK("http://www.usrc.it/AppRendiConta/det_20_20190114.pdf","Determina 20 del 14/01/2019")</f>
        <v>Determina 20 del 14/01/2019</v>
      </c>
      <c r="E13" s="8" t="s">
        <v>50</v>
      </c>
      <c r="F13" s="5" t="s">
        <v>12</v>
      </c>
      <c r="G13" s="9" t="s">
        <v>21</v>
      </c>
      <c r="H13" s="10"/>
      <c r="I13" s="10"/>
      <c r="J13" s="10"/>
      <c r="K13" s="10"/>
    </row>
    <row r="14" ht="30.0" customHeight="1">
      <c r="A14" s="4" t="s">
        <v>51</v>
      </c>
      <c r="B14" s="5" t="s">
        <v>52</v>
      </c>
      <c r="C14" s="6">
        <v>208859.18</v>
      </c>
      <c r="D14" s="7" t="str">
        <f>HYPERLINK("http://www.usrc.it/AppRendiConta/det_21_20190114.pdf","Determina 21 del 14/01/2019")</f>
        <v>Determina 21 del 14/01/2019</v>
      </c>
      <c r="E14" s="8" t="s">
        <v>53</v>
      </c>
      <c r="F14" s="5" t="s">
        <v>12</v>
      </c>
      <c r="G14" s="9" t="s">
        <v>17</v>
      </c>
      <c r="H14" s="10"/>
      <c r="I14" s="10"/>
      <c r="J14" s="10"/>
      <c r="K14" s="10"/>
    </row>
    <row r="15" ht="30.0" customHeight="1">
      <c r="A15" s="4" t="s">
        <v>54</v>
      </c>
      <c r="B15" s="5" t="s">
        <v>55</v>
      </c>
      <c r="C15" s="6">
        <v>44561.18</v>
      </c>
      <c r="D15" s="7" t="str">
        <f>HYPERLINK("http://www.usrc.it/AppRendiConta/det_22_20190114.pdf","Determina 22 del 14/01/2019")</f>
        <v>Determina 22 del 14/01/2019</v>
      </c>
      <c r="E15" s="8" t="s">
        <v>56</v>
      </c>
      <c r="F15" s="5" t="s">
        <v>12</v>
      </c>
      <c r="G15" s="9" t="s">
        <v>25</v>
      </c>
      <c r="H15" s="10"/>
      <c r="I15" s="10"/>
      <c r="J15" s="10"/>
      <c r="K15" s="10"/>
    </row>
    <row r="16" ht="30.0" customHeight="1">
      <c r="A16" s="4" t="s">
        <v>57</v>
      </c>
      <c r="B16" s="5" t="s">
        <v>58</v>
      </c>
      <c r="C16" s="6">
        <v>40648.65</v>
      </c>
      <c r="D16" s="7" t="str">
        <f>HYPERLINK("http://www.usrc.it/AppRendiConta/det_23_20190114.pdf","Determina 23 del 14/01/2019")</f>
        <v>Determina 23 del 14/01/2019</v>
      </c>
      <c r="E16" s="8" t="s">
        <v>59</v>
      </c>
      <c r="F16" s="5" t="s">
        <v>12</v>
      </c>
      <c r="G16" s="9" t="s">
        <v>25</v>
      </c>
      <c r="H16" s="10"/>
      <c r="I16" s="10"/>
      <c r="J16" s="10"/>
      <c r="K16" s="10"/>
    </row>
    <row r="17" ht="30.0" customHeight="1">
      <c r="A17" s="4" t="s">
        <v>60</v>
      </c>
      <c r="B17" s="5" t="s">
        <v>61</v>
      </c>
      <c r="C17" s="6">
        <v>230354.22</v>
      </c>
      <c r="D17" s="7" t="str">
        <f>HYPERLINK("http://www.usrc.it/AppRendiConta/det_24_20190114.pdf","Determina 24 del 14/01/2019")</f>
        <v>Determina 24 del 14/01/2019</v>
      </c>
      <c r="E17" s="8" t="s">
        <v>62</v>
      </c>
      <c r="F17" s="5" t="s">
        <v>12</v>
      </c>
      <c r="G17" s="9" t="s">
        <v>25</v>
      </c>
      <c r="H17" s="10"/>
      <c r="I17" s="10"/>
      <c r="J17" s="10"/>
      <c r="K17" s="10"/>
    </row>
    <row r="18" ht="30.0" customHeight="1">
      <c r="A18" s="4" t="s">
        <v>63</v>
      </c>
      <c r="B18" s="5" t="s">
        <v>64</v>
      </c>
      <c r="C18" s="6">
        <v>84447.71</v>
      </c>
      <c r="D18" s="7" t="str">
        <f>HYPERLINK("http://www.usrc.it/AppRendiConta/det_25_20190114.pdf","Determina 25 del 14/01/2019")</f>
        <v>Determina 25 del 14/01/2019</v>
      </c>
      <c r="E18" s="8" t="s">
        <v>65</v>
      </c>
      <c r="F18" s="5" t="s">
        <v>12</v>
      </c>
      <c r="G18" s="9" t="s">
        <v>25</v>
      </c>
      <c r="H18" s="10"/>
      <c r="I18" s="10"/>
      <c r="J18" s="10"/>
      <c r="K18" s="10"/>
    </row>
    <row r="19" ht="30.0" customHeight="1">
      <c r="A19" s="4" t="s">
        <v>66</v>
      </c>
      <c r="B19" s="5" t="s">
        <v>67</v>
      </c>
      <c r="C19" s="6">
        <v>5742776.16</v>
      </c>
      <c r="D19" s="7" t="str">
        <f>HYPERLINK("http://www.usrc.it/AppRendiConta/det_26_20190115.pdf","Determina 26 del 15/01/2019")</f>
        <v>Determina 26 del 15/01/2019</v>
      </c>
      <c r="E19" s="8" t="s">
        <v>68</v>
      </c>
      <c r="F19" s="5" t="s">
        <v>12</v>
      </c>
      <c r="G19" s="9" t="s">
        <v>13</v>
      </c>
      <c r="H19" s="10"/>
      <c r="I19" s="10"/>
      <c r="J19" s="10"/>
      <c r="K19" s="10"/>
    </row>
    <row r="20" ht="30.0" customHeight="1">
      <c r="A20" s="4" t="s">
        <v>69</v>
      </c>
      <c r="B20" s="5" t="s">
        <v>70</v>
      </c>
      <c r="C20" s="6">
        <v>6938864.28</v>
      </c>
      <c r="D20" s="7" t="str">
        <f>HYPERLINK("http://www.usrc.it/AppRendiConta/det_27_20190115.pdf","Determina 27 del 15/01/2019")</f>
        <v>Determina 27 del 15/01/2019</v>
      </c>
      <c r="E20" s="8" t="s">
        <v>71</v>
      </c>
      <c r="F20" s="5" t="s">
        <v>12</v>
      </c>
      <c r="G20" s="9" t="s">
        <v>13</v>
      </c>
      <c r="H20" s="10"/>
      <c r="I20" s="10"/>
      <c r="J20" s="10"/>
      <c r="K20" s="10"/>
    </row>
    <row r="21" ht="30.0" customHeight="1">
      <c r="A21" s="4" t="s">
        <v>72</v>
      </c>
      <c r="B21" s="5" t="s">
        <v>73</v>
      </c>
      <c r="C21" s="6">
        <v>1270753.15</v>
      </c>
      <c r="D21" s="7" t="str">
        <f>HYPERLINK("http://www.usrc.it/AppRendiConta/det_28_20190115.pdf","Determina 28 del 15/01/2019")</f>
        <v>Determina 28 del 15/01/2019</v>
      </c>
      <c r="E21" s="8" t="s">
        <v>74</v>
      </c>
      <c r="F21" s="5" t="s">
        <v>12</v>
      </c>
      <c r="G21" s="9" t="s">
        <v>13</v>
      </c>
      <c r="H21" s="10"/>
      <c r="I21" s="10"/>
      <c r="J21" s="10"/>
      <c r="K21" s="10"/>
    </row>
    <row r="22" ht="30.0" customHeight="1">
      <c r="A22" s="4" t="s">
        <v>75</v>
      </c>
      <c r="B22" s="5" t="s">
        <v>76</v>
      </c>
      <c r="C22" s="6">
        <v>1770154.8</v>
      </c>
      <c r="D22" s="7" t="str">
        <f>HYPERLINK("http://www.usrc.it/AppRendiConta/det_29_20190115.pdf","Determina 29 del 15/01/2019")</f>
        <v>Determina 29 del 15/01/2019</v>
      </c>
      <c r="E22" s="8" t="s">
        <v>77</v>
      </c>
      <c r="F22" s="5" t="s">
        <v>12</v>
      </c>
      <c r="G22" s="9" t="s">
        <v>13</v>
      </c>
      <c r="H22" s="10"/>
      <c r="I22" s="10"/>
      <c r="J22" s="10"/>
      <c r="K22" s="10"/>
    </row>
    <row r="23" ht="30.0" customHeight="1">
      <c r="A23" s="4" t="s">
        <v>78</v>
      </c>
      <c r="B23" s="5" t="s">
        <v>79</v>
      </c>
      <c r="C23" s="6">
        <v>2310.0</v>
      </c>
      <c r="D23" s="7" t="str">
        <f>HYPERLINK("http://www.usrc.it/AppRendiConta/det_30_20190115.pdf","Determina 30 del 15/01/2019")</f>
        <v>Determina 30 del 15/01/2019</v>
      </c>
      <c r="E23" s="8" t="s">
        <v>80</v>
      </c>
      <c r="F23" s="5" t="s">
        <v>12</v>
      </c>
      <c r="G23" s="9" t="s">
        <v>81</v>
      </c>
      <c r="H23" s="10"/>
      <c r="I23" s="10"/>
      <c r="J23" s="10"/>
      <c r="K23" s="10"/>
    </row>
    <row r="24" ht="30.0" customHeight="1">
      <c r="A24" s="4" t="s">
        <v>29</v>
      </c>
      <c r="B24" s="5" t="s">
        <v>30</v>
      </c>
      <c r="C24" s="6">
        <v>16192.46</v>
      </c>
      <c r="D24" s="7" t="str">
        <f>HYPERLINK("http://www.usrc.it/AppRendiConta/det_31_20190115.pdf","Determina 31 del 15/01/2019")</f>
        <v>Determina 31 del 15/01/2019</v>
      </c>
      <c r="E24" s="8" t="s">
        <v>82</v>
      </c>
      <c r="F24" s="5" t="s">
        <v>12</v>
      </c>
      <c r="G24" s="9" t="s">
        <v>81</v>
      </c>
      <c r="H24" s="10"/>
      <c r="I24" s="10"/>
      <c r="J24" s="10"/>
      <c r="K24" s="10"/>
    </row>
    <row r="25" ht="30.0" customHeight="1">
      <c r="A25" s="4" t="s">
        <v>83</v>
      </c>
      <c r="B25" s="5" t="s">
        <v>84</v>
      </c>
      <c r="C25" s="6">
        <v>41575.65</v>
      </c>
      <c r="D25" s="7" t="str">
        <f>HYPERLINK("http://www.usrc.it/AppRendiConta/det_31_20190115.pdf","Determina 32 del 15/01/2019")</f>
        <v>Determina 32 del 15/01/2019</v>
      </c>
      <c r="E25" s="8" t="s">
        <v>85</v>
      </c>
      <c r="F25" s="5" t="s">
        <v>12</v>
      </c>
      <c r="G25" s="9" t="s">
        <v>17</v>
      </c>
      <c r="H25" s="10"/>
      <c r="I25" s="10"/>
      <c r="J25" s="10"/>
      <c r="K25" s="10"/>
    </row>
    <row r="26" ht="30.0" customHeight="1">
      <c r="A26" s="12" t="s">
        <v>86</v>
      </c>
      <c r="B26" s="13" t="s">
        <v>87</v>
      </c>
      <c r="C26" s="14">
        <v>6701.09</v>
      </c>
      <c r="D26" s="15" t="str">
        <f>HYPERLINK("http://www.usrc.it/AppRendiConta/det_36_20190119.pdf","Determina 36 del 15/01/2019")</f>
        <v>Determina 36 del 15/01/2019</v>
      </c>
      <c r="E26" s="16" t="s">
        <v>88</v>
      </c>
      <c r="F26" s="17" t="s">
        <v>12</v>
      </c>
      <c r="G26" s="9" t="s">
        <v>81</v>
      </c>
      <c r="H26" s="10"/>
      <c r="I26" s="10"/>
      <c r="J26" s="10"/>
      <c r="K26" s="10"/>
    </row>
    <row r="27" ht="30.0" customHeight="1">
      <c r="A27" s="12" t="s">
        <v>86</v>
      </c>
      <c r="B27" s="13" t="s">
        <v>87</v>
      </c>
      <c r="C27" s="14">
        <v>8487.17</v>
      </c>
      <c r="D27" s="15" t="str">
        <f>HYPERLINK("http://www.usrc.it/AppRendiConta/det_37_20190116.pdf","Determina 37 del 16/01/2019")</f>
        <v>Determina 37 del 16/01/2019</v>
      </c>
      <c r="E27" s="16" t="s">
        <v>89</v>
      </c>
      <c r="F27" s="17" t="s">
        <v>12</v>
      </c>
      <c r="G27" s="18" t="s">
        <v>81</v>
      </c>
      <c r="H27" s="10"/>
      <c r="I27" s="10"/>
      <c r="J27" s="10"/>
      <c r="K27" s="10"/>
    </row>
    <row r="28" ht="30.0" customHeight="1">
      <c r="A28" s="12" t="s">
        <v>90</v>
      </c>
      <c r="B28" s="13" t="s">
        <v>91</v>
      </c>
      <c r="C28" s="6">
        <v>40839.57</v>
      </c>
      <c r="D28" s="15" t="str">
        <f>HYPERLINK("http://www.usrc.it/AppRendiConta/det_38_20190116.pdf","Determina 38 del 16/01/2019")</f>
        <v>Determina 38 del 16/01/2019</v>
      </c>
      <c r="E28" s="16" t="s">
        <v>92</v>
      </c>
      <c r="F28" s="17" t="s">
        <v>12</v>
      </c>
      <c r="G28" s="18" t="s">
        <v>81</v>
      </c>
      <c r="H28" s="10"/>
      <c r="I28" s="10"/>
      <c r="J28" s="10"/>
      <c r="K28" s="10"/>
    </row>
    <row r="29" ht="30.0" customHeight="1">
      <c r="A29" s="12" t="s">
        <v>29</v>
      </c>
      <c r="B29" s="13" t="s">
        <v>30</v>
      </c>
      <c r="C29" s="6">
        <v>2481.78</v>
      </c>
      <c r="D29" s="15" t="str">
        <f>HYPERLINK("http://www.usrc.it/AppRendiConta/det_39_20190116.pdf","Determina 39 del 16/01/2019")</f>
        <v>Determina 39 del 16/01/2019</v>
      </c>
      <c r="E29" s="16" t="s">
        <v>93</v>
      </c>
      <c r="F29" s="17" t="s">
        <v>12</v>
      </c>
      <c r="G29" s="18" t="s">
        <v>81</v>
      </c>
      <c r="H29" s="10"/>
      <c r="I29" s="10"/>
      <c r="J29" s="10"/>
      <c r="K29" s="10"/>
    </row>
    <row r="30" ht="30.0" customHeight="1">
      <c r="A30" s="12" t="s">
        <v>66</v>
      </c>
      <c r="B30" s="13" t="s">
        <v>67</v>
      </c>
      <c r="C30" s="19">
        <v>20685.25</v>
      </c>
      <c r="D30" s="15" t="str">
        <f>HYPERLINK("http://www.usrc.it/AppRendiConta/det_40_20190116.pdf","Determina 40 del 16/01/2019")</f>
        <v>Determina 40 del 16/01/2019</v>
      </c>
      <c r="E30" s="16" t="s">
        <v>94</v>
      </c>
      <c r="F30" s="17" t="s">
        <v>12</v>
      </c>
      <c r="G30" s="18" t="s">
        <v>81</v>
      </c>
      <c r="H30" s="10"/>
      <c r="I30" s="10"/>
      <c r="J30" s="10"/>
      <c r="K30" s="10"/>
    </row>
    <row r="31" ht="30.0" customHeight="1">
      <c r="A31" s="12" t="s">
        <v>95</v>
      </c>
      <c r="B31" s="11" t="s">
        <v>96</v>
      </c>
      <c r="C31" s="6">
        <v>58919.94</v>
      </c>
      <c r="D31" s="20" t="str">
        <f>HYPERLINK("http://www.usrc.it/AppRendiConta/det_46_20190116.pdf","Determina 46 del 16/01/2019")</f>
        <v>Determina 46 del 16/01/2019</v>
      </c>
      <c r="E31" s="12" t="s">
        <v>97</v>
      </c>
      <c r="F31" s="17" t="s">
        <v>12</v>
      </c>
      <c r="G31" s="21" t="s">
        <v>17</v>
      </c>
      <c r="H31" s="10"/>
      <c r="I31" s="10"/>
      <c r="J31" s="10"/>
      <c r="K31" s="10"/>
    </row>
    <row r="32" ht="30.0" customHeight="1">
      <c r="A32" s="12" t="s">
        <v>98</v>
      </c>
      <c r="B32" s="5" t="s">
        <v>99</v>
      </c>
      <c r="C32" s="6">
        <v>27744.71</v>
      </c>
      <c r="D32" s="15" t="str">
        <f>HYPERLINK("http://www.usrc.it/AppRendiConta/det_47_20190118.pdf","Determina 47 del 18/01/2019")</f>
        <v>Determina 47 del 18/01/2019</v>
      </c>
      <c r="E32" s="16" t="s">
        <v>100</v>
      </c>
      <c r="F32" s="17" t="s">
        <v>12</v>
      </c>
      <c r="G32" s="18" t="s">
        <v>101</v>
      </c>
      <c r="H32" s="10"/>
      <c r="I32" s="10"/>
      <c r="J32" s="10"/>
      <c r="K32" s="10"/>
    </row>
    <row r="33" ht="30.0" customHeight="1">
      <c r="A33" s="22" t="s">
        <v>102</v>
      </c>
      <c r="B33" s="5" t="s">
        <v>103</v>
      </c>
      <c r="C33" s="6">
        <v>81603.94</v>
      </c>
      <c r="D33" s="15" t="str">
        <f>HYPERLINK("http://www.usrc.it/AppRendiConta/det_48_20190118.pdf","Determina 48 del 18/01/2019")</f>
        <v>Determina 48 del 18/01/2019</v>
      </c>
      <c r="E33" s="16" t="s">
        <v>104</v>
      </c>
      <c r="F33" s="17" t="s">
        <v>12</v>
      </c>
      <c r="G33" s="18" t="s">
        <v>101</v>
      </c>
      <c r="H33" s="10"/>
      <c r="I33" s="10"/>
      <c r="J33" s="10"/>
      <c r="K33" s="10"/>
    </row>
    <row r="34" ht="30.0" customHeight="1">
      <c r="A34" s="22" t="s">
        <v>105</v>
      </c>
      <c r="B34" s="23" t="s">
        <v>106</v>
      </c>
      <c r="C34" s="6">
        <v>356208.94</v>
      </c>
      <c r="D34" s="15" t="str">
        <f>HYPERLINK("http://www.usrc.it/AppRendiConta/det_49_20190118.pdf","Determina 49 del 18/01/2019")</f>
        <v>Determina 49 del 18/01/2019</v>
      </c>
      <c r="E34" s="16" t="s">
        <v>107</v>
      </c>
      <c r="F34" s="17" t="s">
        <v>12</v>
      </c>
      <c r="G34" s="18" t="s">
        <v>17</v>
      </c>
      <c r="H34" s="10"/>
      <c r="I34" s="10"/>
      <c r="J34" s="10"/>
      <c r="K34" s="10"/>
    </row>
    <row r="35" ht="30.0" customHeight="1">
      <c r="A35" s="22" t="s">
        <v>90</v>
      </c>
      <c r="B35" s="23" t="s">
        <v>91</v>
      </c>
      <c r="C35" s="6">
        <v>10961.33</v>
      </c>
      <c r="D35" s="15" t="str">
        <f>HYPERLINK("http://www.usrc.it/AppRendiConta/det_50_20190118.pdf","Determina 50 del 18/01/2019")</f>
        <v>Determina 50 del 18/01/2019</v>
      </c>
      <c r="E35" s="16" t="s">
        <v>108</v>
      </c>
      <c r="F35" s="17" t="s">
        <v>12</v>
      </c>
      <c r="G35" s="18" t="s">
        <v>81</v>
      </c>
      <c r="H35" s="10"/>
      <c r="I35" s="10"/>
      <c r="J35" s="10"/>
      <c r="K35" s="10"/>
    </row>
    <row r="36" ht="30.0" customHeight="1">
      <c r="A36" s="22" t="s">
        <v>109</v>
      </c>
      <c r="B36" s="23" t="s">
        <v>110</v>
      </c>
      <c r="C36" s="6">
        <v>117408.34</v>
      </c>
      <c r="D36" s="15" t="str">
        <f>HYPERLINK("http://www.usrc.it/AppRendiConta/det_51_20190121.pdf","Determina 51 del 21/01/2019")</f>
        <v>Determina 51 del 21/01/2019</v>
      </c>
      <c r="E36" s="16" t="s">
        <v>111</v>
      </c>
      <c r="F36" s="5" t="s">
        <v>12</v>
      </c>
      <c r="G36" s="9" t="s">
        <v>17</v>
      </c>
      <c r="H36" s="10"/>
      <c r="I36" s="10"/>
      <c r="J36" s="10"/>
      <c r="K36" s="10"/>
    </row>
    <row r="37" ht="30.0" customHeight="1">
      <c r="A37" s="22" t="s">
        <v>112</v>
      </c>
      <c r="B37" s="23" t="s">
        <v>113</v>
      </c>
      <c r="C37" s="6">
        <v>26733.6</v>
      </c>
      <c r="D37" s="15" t="str">
        <f>HYPERLINK("http://www.usrc.it/AppRendiConta/det_52_20190121.pdf","Determina 52 del 21/01/2019")</f>
        <v>Determina 52 del 21/01/2019</v>
      </c>
      <c r="E37" s="16" t="s">
        <v>114</v>
      </c>
      <c r="F37" s="17" t="s">
        <v>12</v>
      </c>
      <c r="G37" s="18" t="s">
        <v>81</v>
      </c>
      <c r="H37" s="10"/>
      <c r="I37" s="10"/>
      <c r="J37" s="10"/>
      <c r="K37" s="10"/>
    </row>
    <row r="38" ht="30.0" customHeight="1">
      <c r="A38" s="22" t="s">
        <v>115</v>
      </c>
      <c r="B38" s="23" t="s">
        <v>116</v>
      </c>
      <c r="C38" s="6">
        <v>1665543.31</v>
      </c>
      <c r="D38" s="15" t="str">
        <f>HYPERLINK("http://www.usrc.it/AppRendiConta/det_53_20190121.pdf","Determina 53 del 21/01/2019")</f>
        <v>Determina 53 del 21/01/2019</v>
      </c>
      <c r="E38" s="16" t="s">
        <v>117</v>
      </c>
      <c r="F38" s="17" t="s">
        <v>12</v>
      </c>
      <c r="G38" s="18" t="s">
        <v>17</v>
      </c>
      <c r="H38" s="10"/>
      <c r="I38" s="10"/>
      <c r="J38" s="10"/>
      <c r="K38" s="10"/>
    </row>
    <row r="39" ht="30.0" customHeight="1">
      <c r="A39" s="22" t="s">
        <v>86</v>
      </c>
      <c r="B39" s="23" t="s">
        <v>87</v>
      </c>
      <c r="C39" s="6">
        <v>92639.32</v>
      </c>
      <c r="D39" s="15" t="str">
        <f>HYPERLINK("http://www.usrc.it/AppRendiConta/det_57_20190121.pdf","Determina 57 del 21/01/2019")</f>
        <v>Determina 57 del 21/01/2019</v>
      </c>
      <c r="E39" s="16" t="s">
        <v>118</v>
      </c>
      <c r="F39" s="17" t="s">
        <v>12</v>
      </c>
      <c r="G39" s="18" t="s">
        <v>101</v>
      </c>
      <c r="H39" s="10"/>
      <c r="I39" s="10"/>
      <c r="J39" s="10"/>
      <c r="K39" s="10"/>
    </row>
    <row r="40" ht="30.0" customHeight="1">
      <c r="A40" s="22" t="s">
        <v>119</v>
      </c>
      <c r="B40" s="24" t="s">
        <v>120</v>
      </c>
      <c r="C40" s="6">
        <v>130883.48</v>
      </c>
      <c r="D40" s="15" t="str">
        <f>HYPERLINK("http://www.usrc.it/AppRendiConta/det_58_20190121.pdf","Determina 58 del 21/01/2019")</f>
        <v>Determina 58 del 21/01/2019</v>
      </c>
      <c r="E40" s="16" t="s">
        <v>121</v>
      </c>
      <c r="F40" s="17" t="s">
        <v>12</v>
      </c>
      <c r="G40" s="18" t="s">
        <v>17</v>
      </c>
      <c r="H40" s="10"/>
      <c r="I40" s="10"/>
      <c r="J40" s="10"/>
      <c r="K40" s="10"/>
    </row>
    <row r="41" ht="30.0" customHeight="1">
      <c r="A41" s="22" t="s">
        <v>69</v>
      </c>
      <c r="B41" s="23" t="s">
        <v>70</v>
      </c>
      <c r="C41" s="6">
        <v>21600.0</v>
      </c>
      <c r="D41" s="15" t="str">
        <f t="shared" ref="D41:D51" si="1">HYPERLINK("http://www.usrc.it/AppRendiConta/det_60_20190122.pdf","Determina 60 del 22/01/2019")</f>
        <v>Determina 60 del 22/01/2019</v>
      </c>
      <c r="E41" s="16" t="s">
        <v>122</v>
      </c>
      <c r="F41" s="17" t="s">
        <v>12</v>
      </c>
      <c r="G41" s="18" t="s">
        <v>123</v>
      </c>
      <c r="H41" s="10"/>
      <c r="I41" s="10"/>
      <c r="J41" s="10"/>
      <c r="K41" s="10"/>
    </row>
    <row r="42" ht="30.0" customHeight="1">
      <c r="A42" s="22" t="s">
        <v>124</v>
      </c>
      <c r="B42" s="23" t="s">
        <v>125</v>
      </c>
      <c r="C42" s="6">
        <v>21600.0</v>
      </c>
      <c r="D42" s="15" t="str">
        <f t="shared" si="1"/>
        <v>Determina 60 del 22/01/2019</v>
      </c>
      <c r="E42" s="16" t="s">
        <v>126</v>
      </c>
      <c r="F42" s="17" t="s">
        <v>12</v>
      </c>
      <c r="G42" s="18" t="s">
        <v>123</v>
      </c>
      <c r="H42" s="10"/>
      <c r="I42" s="10"/>
      <c r="J42" s="10"/>
      <c r="K42" s="10"/>
    </row>
    <row r="43" ht="30.0" customHeight="1">
      <c r="A43" s="22" t="s">
        <v>127</v>
      </c>
      <c r="B43" s="23" t="s">
        <v>128</v>
      </c>
      <c r="C43" s="6">
        <v>14400.0</v>
      </c>
      <c r="D43" s="15" t="str">
        <f t="shared" si="1"/>
        <v>Determina 60 del 22/01/2019</v>
      </c>
      <c r="E43" s="16" t="s">
        <v>129</v>
      </c>
      <c r="F43" s="25" t="s">
        <v>12</v>
      </c>
      <c r="G43" s="18" t="s">
        <v>123</v>
      </c>
      <c r="H43" s="10"/>
      <c r="I43" s="10"/>
      <c r="J43" s="10"/>
      <c r="K43" s="10"/>
    </row>
    <row r="44" ht="30.0" customHeight="1">
      <c r="A44" s="22" t="s">
        <v>130</v>
      </c>
      <c r="B44" s="23" t="s">
        <v>131</v>
      </c>
      <c r="C44" s="6">
        <v>5400.0</v>
      </c>
      <c r="D44" s="15" t="str">
        <f t="shared" si="1"/>
        <v>Determina 60 del 22/01/2019</v>
      </c>
      <c r="E44" s="16" t="s">
        <v>132</v>
      </c>
      <c r="F44" s="17" t="s">
        <v>12</v>
      </c>
      <c r="G44" s="18" t="s">
        <v>123</v>
      </c>
      <c r="H44" s="10"/>
      <c r="I44" s="10"/>
      <c r="J44" s="10"/>
      <c r="K44" s="10"/>
    </row>
    <row r="45" ht="30.0" customHeight="1">
      <c r="A45" s="22" t="s">
        <v>133</v>
      </c>
      <c r="B45" s="26" t="s">
        <v>134</v>
      </c>
      <c r="C45" s="6">
        <v>14400.0</v>
      </c>
      <c r="D45" s="15" t="str">
        <f t="shared" si="1"/>
        <v>Determina 60 del 22/01/2019</v>
      </c>
      <c r="E45" s="16" t="s">
        <v>122</v>
      </c>
      <c r="F45" s="25" t="s">
        <v>12</v>
      </c>
      <c r="G45" s="18" t="s">
        <v>123</v>
      </c>
      <c r="H45" s="10"/>
      <c r="I45" s="10"/>
      <c r="J45" s="10"/>
      <c r="K45" s="10"/>
    </row>
    <row r="46" ht="30.0" customHeight="1">
      <c r="A46" s="22" t="s">
        <v>48</v>
      </c>
      <c r="B46" s="5" t="s">
        <v>49</v>
      </c>
      <c r="C46" s="6">
        <v>3600.0</v>
      </c>
      <c r="D46" s="15" t="str">
        <f t="shared" si="1"/>
        <v>Determina 60 del 22/01/2019</v>
      </c>
      <c r="E46" s="16" t="s">
        <v>135</v>
      </c>
      <c r="F46" s="17" t="s">
        <v>12</v>
      </c>
      <c r="G46" s="18" t="s">
        <v>123</v>
      </c>
      <c r="H46" s="10"/>
      <c r="I46" s="10"/>
      <c r="J46" s="10"/>
      <c r="K46" s="10"/>
    </row>
    <row r="47" ht="30.0" customHeight="1">
      <c r="A47" s="22" t="s">
        <v>136</v>
      </c>
      <c r="B47" s="5" t="s">
        <v>137</v>
      </c>
      <c r="C47" s="6">
        <v>21308.0</v>
      </c>
      <c r="D47" s="15" t="str">
        <f t="shared" si="1"/>
        <v>Determina 60 del 22/01/2019</v>
      </c>
      <c r="E47" s="16" t="s">
        <v>122</v>
      </c>
      <c r="F47" s="17" t="s">
        <v>12</v>
      </c>
      <c r="G47" s="18" t="s">
        <v>123</v>
      </c>
      <c r="H47" s="10"/>
      <c r="I47" s="10"/>
      <c r="J47" s="10"/>
      <c r="K47" s="10"/>
    </row>
    <row r="48" ht="30.0" customHeight="1">
      <c r="A48" s="22" t="s">
        <v>138</v>
      </c>
      <c r="B48" s="5" t="s">
        <v>139</v>
      </c>
      <c r="C48" s="6">
        <v>3600.0</v>
      </c>
      <c r="D48" s="15" t="str">
        <f t="shared" si="1"/>
        <v>Determina 60 del 22/01/2019</v>
      </c>
      <c r="E48" s="16" t="s">
        <v>135</v>
      </c>
      <c r="F48" s="17" t="s">
        <v>12</v>
      </c>
      <c r="G48" s="18" t="s">
        <v>123</v>
      </c>
      <c r="H48" s="10"/>
      <c r="I48" s="10"/>
      <c r="J48" s="10"/>
      <c r="K48" s="10"/>
    </row>
    <row r="49" ht="30.0" customHeight="1">
      <c r="A49" s="22" t="s">
        <v>140</v>
      </c>
      <c r="B49" s="26" t="s">
        <v>141</v>
      </c>
      <c r="C49" s="6">
        <v>7200.0</v>
      </c>
      <c r="D49" s="15" t="str">
        <f t="shared" si="1"/>
        <v>Determina 60 del 22/01/2019</v>
      </c>
      <c r="E49" s="16" t="s">
        <v>142</v>
      </c>
      <c r="F49" s="17" t="s">
        <v>12</v>
      </c>
      <c r="G49" s="18" t="s">
        <v>123</v>
      </c>
      <c r="H49" s="10"/>
      <c r="I49" s="10"/>
      <c r="J49" s="10"/>
      <c r="K49" s="10"/>
    </row>
    <row r="50" ht="30.0" customHeight="1">
      <c r="A50" s="22" t="s">
        <v>143</v>
      </c>
      <c r="B50" s="5" t="s">
        <v>144</v>
      </c>
      <c r="C50" s="6">
        <v>21600.0</v>
      </c>
      <c r="D50" s="15" t="str">
        <f t="shared" si="1"/>
        <v>Determina 60 del 22/01/2019</v>
      </c>
      <c r="E50" s="27" t="s">
        <v>122</v>
      </c>
      <c r="F50" s="25" t="s">
        <v>12</v>
      </c>
      <c r="G50" s="21" t="s">
        <v>123</v>
      </c>
      <c r="H50" s="10"/>
      <c r="I50" s="10"/>
      <c r="J50" s="10"/>
      <c r="K50" s="10"/>
    </row>
    <row r="51" ht="30.0" customHeight="1">
      <c r="A51" s="22" t="s">
        <v>145</v>
      </c>
      <c r="B51" s="26" t="s">
        <v>146</v>
      </c>
      <c r="C51" s="6">
        <v>10800.0</v>
      </c>
      <c r="D51" s="15" t="str">
        <f t="shared" si="1"/>
        <v>Determina 60 del 22/01/2019</v>
      </c>
      <c r="E51" s="27" t="s">
        <v>147</v>
      </c>
      <c r="F51" s="25" t="s">
        <v>12</v>
      </c>
      <c r="G51" s="21" t="s">
        <v>123</v>
      </c>
      <c r="H51" s="10"/>
      <c r="I51" s="10"/>
      <c r="J51" s="10"/>
      <c r="K51" s="10"/>
    </row>
    <row r="52" ht="30.0" customHeight="1">
      <c r="A52" s="22" t="s">
        <v>18</v>
      </c>
      <c r="B52" s="5" t="s">
        <v>19</v>
      </c>
      <c r="C52" s="6">
        <v>14400.0</v>
      </c>
      <c r="D52" s="20" t="str">
        <f t="shared" ref="D52:D76" si="2">HYPERLINK("http://www.usrc.it/AppRendiConta/det_61_20190122.pdf","Determina 61 del 22/01/2019")</f>
        <v>Determina 61 del 22/01/2019</v>
      </c>
      <c r="E52" s="27" t="s">
        <v>148</v>
      </c>
      <c r="F52" s="25" t="s">
        <v>12</v>
      </c>
      <c r="G52" s="21" t="s">
        <v>149</v>
      </c>
      <c r="H52" s="10"/>
      <c r="I52" s="10"/>
      <c r="J52" s="10"/>
      <c r="K52" s="10"/>
    </row>
    <row r="53" ht="30.0" customHeight="1">
      <c r="A53" s="22" t="s">
        <v>69</v>
      </c>
      <c r="B53" s="28" t="s">
        <v>70</v>
      </c>
      <c r="C53" s="6">
        <v>10800.0</v>
      </c>
      <c r="D53" s="20" t="str">
        <f t="shared" si="2"/>
        <v>Determina 61 del 22/01/2019</v>
      </c>
      <c r="E53" s="27" t="s">
        <v>150</v>
      </c>
      <c r="F53" s="25" t="s">
        <v>12</v>
      </c>
      <c r="G53" s="21" t="s">
        <v>149</v>
      </c>
      <c r="H53" s="10"/>
      <c r="I53" s="10"/>
      <c r="J53" s="10"/>
      <c r="K53" s="10"/>
    </row>
    <row r="54" ht="30.0" customHeight="1">
      <c r="A54" s="22" t="s">
        <v>151</v>
      </c>
      <c r="B54" s="5" t="s">
        <v>152</v>
      </c>
      <c r="C54" s="6">
        <v>16200.0</v>
      </c>
      <c r="D54" s="20" t="str">
        <f t="shared" si="2"/>
        <v>Determina 61 del 22/01/2019</v>
      </c>
      <c r="E54" s="27" t="s">
        <v>153</v>
      </c>
      <c r="F54" s="25" t="s">
        <v>12</v>
      </c>
      <c r="G54" s="21" t="s">
        <v>149</v>
      </c>
      <c r="H54" s="10"/>
      <c r="I54" s="10"/>
      <c r="J54" s="10"/>
      <c r="K54" s="10"/>
    </row>
    <row r="55" ht="30.0" customHeight="1">
      <c r="A55" s="22" t="s">
        <v>42</v>
      </c>
      <c r="B55" s="25" t="s">
        <v>43</v>
      </c>
      <c r="C55" s="6">
        <v>5400.0</v>
      </c>
      <c r="D55" s="20" t="str">
        <f t="shared" si="2"/>
        <v>Determina 61 del 22/01/2019</v>
      </c>
      <c r="E55" s="27" t="s">
        <v>154</v>
      </c>
      <c r="F55" s="25" t="s">
        <v>12</v>
      </c>
      <c r="G55" s="21" t="s">
        <v>149</v>
      </c>
      <c r="H55" s="10"/>
      <c r="I55" s="10"/>
      <c r="J55" s="10"/>
      <c r="K55" s="10"/>
    </row>
    <row r="56" ht="30.0" customHeight="1">
      <c r="A56" s="22" t="s">
        <v>124</v>
      </c>
      <c r="B56" s="25" t="s">
        <v>125</v>
      </c>
      <c r="C56" s="6">
        <v>7200.0</v>
      </c>
      <c r="D56" s="20" t="str">
        <f t="shared" si="2"/>
        <v>Determina 61 del 22/01/2019</v>
      </c>
      <c r="E56" s="27" t="s">
        <v>155</v>
      </c>
      <c r="F56" s="25" t="s">
        <v>12</v>
      </c>
      <c r="G56" s="21" t="s">
        <v>149</v>
      </c>
      <c r="H56" s="10"/>
      <c r="I56" s="10"/>
      <c r="J56" s="10"/>
      <c r="K56" s="10"/>
    </row>
    <row r="57" ht="30.0" customHeight="1">
      <c r="A57" s="22" t="s">
        <v>130</v>
      </c>
      <c r="B57" s="25" t="s">
        <v>131</v>
      </c>
      <c r="C57" s="6">
        <v>14400.0</v>
      </c>
      <c r="D57" s="20" t="str">
        <f t="shared" si="2"/>
        <v>Determina 61 del 22/01/2019</v>
      </c>
      <c r="E57" s="27" t="s">
        <v>148</v>
      </c>
      <c r="F57" s="25" t="s">
        <v>12</v>
      </c>
      <c r="G57" s="21" t="s">
        <v>149</v>
      </c>
      <c r="H57" s="10"/>
      <c r="I57" s="10"/>
      <c r="J57" s="10"/>
      <c r="K57" s="10"/>
    </row>
    <row r="58" ht="30.0" customHeight="1">
      <c r="A58" s="22" t="s">
        <v>98</v>
      </c>
      <c r="B58" s="29" t="s">
        <v>99</v>
      </c>
      <c r="C58" s="6">
        <v>9000.0</v>
      </c>
      <c r="D58" s="20" t="str">
        <f t="shared" si="2"/>
        <v>Determina 61 del 22/01/2019</v>
      </c>
      <c r="E58" s="27" t="s">
        <v>156</v>
      </c>
      <c r="F58" s="25" t="s">
        <v>12</v>
      </c>
      <c r="G58" s="21" t="s">
        <v>149</v>
      </c>
      <c r="H58" s="10"/>
      <c r="I58" s="10"/>
      <c r="J58" s="10"/>
      <c r="K58" s="10"/>
    </row>
    <row r="59" ht="30.0" customHeight="1">
      <c r="A59" s="22" t="s">
        <v>133</v>
      </c>
      <c r="B59" s="5" t="s">
        <v>134</v>
      </c>
      <c r="C59" s="6">
        <v>7200.0</v>
      </c>
      <c r="D59" s="20" t="str">
        <f t="shared" si="2"/>
        <v>Determina 61 del 22/01/2019</v>
      </c>
      <c r="E59" s="27" t="s">
        <v>157</v>
      </c>
      <c r="F59" s="25" t="s">
        <v>12</v>
      </c>
      <c r="G59" s="21" t="s">
        <v>149</v>
      </c>
      <c r="H59" s="10"/>
      <c r="I59" s="10"/>
      <c r="J59" s="10"/>
      <c r="K59" s="10"/>
    </row>
    <row r="60" ht="30.0" customHeight="1">
      <c r="A60" s="22" t="s">
        <v>158</v>
      </c>
      <c r="B60" s="25" t="s">
        <v>159</v>
      </c>
      <c r="C60" s="6">
        <v>14400.0</v>
      </c>
      <c r="D60" s="20" t="str">
        <f t="shared" si="2"/>
        <v>Determina 61 del 22/01/2019</v>
      </c>
      <c r="E60" s="27" t="s">
        <v>148</v>
      </c>
      <c r="F60" s="25" t="s">
        <v>12</v>
      </c>
      <c r="G60" s="21" t="s">
        <v>149</v>
      </c>
      <c r="H60" s="10"/>
      <c r="I60" s="10"/>
      <c r="J60" s="10"/>
      <c r="K60" s="10"/>
    </row>
    <row r="61" ht="30.0" customHeight="1">
      <c r="A61" s="22" t="s">
        <v>160</v>
      </c>
      <c r="B61" s="13" t="s">
        <v>161</v>
      </c>
      <c r="C61" s="6">
        <v>21600.0</v>
      </c>
      <c r="D61" s="20" t="str">
        <f t="shared" si="2"/>
        <v>Determina 61 del 22/01/2019</v>
      </c>
      <c r="E61" s="27" t="s">
        <v>162</v>
      </c>
      <c r="F61" s="25" t="s">
        <v>12</v>
      </c>
      <c r="G61" s="21" t="s">
        <v>149</v>
      </c>
      <c r="H61" s="10"/>
      <c r="I61" s="10"/>
      <c r="J61" s="10"/>
      <c r="K61" s="10"/>
    </row>
    <row r="62" ht="30.0" customHeight="1">
      <c r="A62" s="22" t="s">
        <v>48</v>
      </c>
      <c r="B62" s="25" t="s">
        <v>49</v>
      </c>
      <c r="C62" s="6">
        <v>14400.0</v>
      </c>
      <c r="D62" s="20" t="str">
        <f t="shared" si="2"/>
        <v>Determina 61 del 22/01/2019</v>
      </c>
      <c r="E62" s="27" t="s">
        <v>163</v>
      </c>
      <c r="F62" s="25" t="s">
        <v>12</v>
      </c>
      <c r="G62" s="21" t="s">
        <v>149</v>
      </c>
      <c r="H62" s="10"/>
      <c r="I62" s="10"/>
      <c r="J62" s="10"/>
      <c r="K62" s="10"/>
    </row>
    <row r="63" ht="30.0" customHeight="1">
      <c r="A63" s="22" t="s">
        <v>36</v>
      </c>
      <c r="B63" s="25" t="s">
        <v>37</v>
      </c>
      <c r="C63" s="6">
        <v>10800.0</v>
      </c>
      <c r="D63" s="20" t="str">
        <f t="shared" si="2"/>
        <v>Determina 61 del 22/01/2019</v>
      </c>
      <c r="E63" s="27" t="s">
        <v>150</v>
      </c>
      <c r="F63" s="25" t="s">
        <v>12</v>
      </c>
      <c r="G63" s="21" t="s">
        <v>149</v>
      </c>
      <c r="H63" s="10"/>
      <c r="I63" s="10"/>
      <c r="J63" s="10"/>
      <c r="K63" s="10"/>
    </row>
    <row r="64" ht="30.0" customHeight="1">
      <c r="A64" s="22" t="s">
        <v>164</v>
      </c>
      <c r="B64" s="25" t="s">
        <v>165</v>
      </c>
      <c r="C64" s="6">
        <v>21600.0</v>
      </c>
      <c r="D64" s="20" t="str">
        <f t="shared" si="2"/>
        <v>Determina 61 del 22/01/2019</v>
      </c>
      <c r="E64" s="27" t="s">
        <v>166</v>
      </c>
      <c r="F64" s="25" t="s">
        <v>12</v>
      </c>
      <c r="G64" s="21" t="s">
        <v>149</v>
      </c>
      <c r="H64" s="10"/>
      <c r="I64" s="10"/>
      <c r="J64" s="10"/>
      <c r="K64" s="10"/>
    </row>
    <row r="65" ht="30.0" customHeight="1">
      <c r="A65" s="22" t="s">
        <v>78</v>
      </c>
      <c r="B65" s="25" t="s">
        <v>79</v>
      </c>
      <c r="C65" s="6">
        <v>10800.0</v>
      </c>
      <c r="D65" s="20" t="str">
        <f t="shared" si="2"/>
        <v>Determina 61 del 22/01/2019</v>
      </c>
      <c r="E65" s="27" t="s">
        <v>157</v>
      </c>
      <c r="F65" s="25" t="s">
        <v>12</v>
      </c>
      <c r="G65" s="21" t="s">
        <v>149</v>
      </c>
      <c r="H65" s="10"/>
      <c r="I65" s="10"/>
      <c r="J65" s="10"/>
      <c r="K65" s="10"/>
    </row>
    <row r="66" ht="30.0" customHeight="1">
      <c r="A66" s="22" t="s">
        <v>167</v>
      </c>
      <c r="B66" s="25" t="s">
        <v>168</v>
      </c>
      <c r="C66" s="6">
        <v>8640.0</v>
      </c>
      <c r="D66" s="20" t="str">
        <f t="shared" si="2"/>
        <v>Determina 61 del 22/01/2019</v>
      </c>
      <c r="E66" s="27" t="s">
        <v>157</v>
      </c>
      <c r="F66" s="25" t="s">
        <v>12</v>
      </c>
      <c r="G66" s="21" t="s">
        <v>149</v>
      </c>
      <c r="H66" s="10"/>
      <c r="I66" s="10"/>
      <c r="J66" s="10"/>
      <c r="K66" s="10"/>
    </row>
    <row r="67" ht="30.0" customHeight="1">
      <c r="A67" s="22" t="s">
        <v>169</v>
      </c>
      <c r="B67" s="30" t="s">
        <v>170</v>
      </c>
      <c r="C67" s="6">
        <v>14400.0</v>
      </c>
      <c r="D67" s="20" t="str">
        <f t="shared" si="2"/>
        <v>Determina 61 del 22/01/2019</v>
      </c>
      <c r="E67" s="27" t="s">
        <v>148</v>
      </c>
      <c r="F67" s="25" t="s">
        <v>12</v>
      </c>
      <c r="G67" s="21" t="s">
        <v>149</v>
      </c>
      <c r="H67" s="10"/>
      <c r="I67" s="10"/>
      <c r="J67" s="10"/>
      <c r="K67" s="10"/>
    </row>
    <row r="68" ht="30.0" customHeight="1">
      <c r="A68" s="22" t="s">
        <v>138</v>
      </c>
      <c r="B68" s="25" t="s">
        <v>139</v>
      </c>
      <c r="C68" s="6">
        <v>14400.0</v>
      </c>
      <c r="D68" s="20" t="str">
        <f t="shared" si="2"/>
        <v>Determina 61 del 22/01/2019</v>
      </c>
      <c r="E68" s="27" t="s">
        <v>148</v>
      </c>
      <c r="F68" s="25" t="s">
        <v>12</v>
      </c>
      <c r="G68" s="21" t="s">
        <v>149</v>
      </c>
      <c r="H68" s="10"/>
      <c r="I68" s="10"/>
      <c r="J68" s="10"/>
      <c r="K68" s="10"/>
    </row>
    <row r="69" ht="30.0" customHeight="1">
      <c r="A69" s="22" t="s">
        <v>171</v>
      </c>
      <c r="B69" s="25" t="s">
        <v>172</v>
      </c>
      <c r="C69" s="6">
        <v>9000.0</v>
      </c>
      <c r="D69" s="20" t="str">
        <f t="shared" si="2"/>
        <v>Determina 61 del 22/01/2019</v>
      </c>
      <c r="E69" s="27" t="s">
        <v>173</v>
      </c>
      <c r="F69" s="25" t="s">
        <v>12</v>
      </c>
      <c r="G69" s="21" t="s">
        <v>149</v>
      </c>
      <c r="H69" s="10"/>
      <c r="I69" s="10"/>
      <c r="J69" s="10"/>
      <c r="K69" s="10"/>
    </row>
    <row r="70" ht="30.0" customHeight="1">
      <c r="A70" s="22" t="s">
        <v>140</v>
      </c>
      <c r="B70" s="25" t="s">
        <v>141</v>
      </c>
      <c r="C70" s="6">
        <v>7200.0</v>
      </c>
      <c r="D70" s="20" t="str">
        <f t="shared" si="2"/>
        <v>Determina 61 del 22/01/2019</v>
      </c>
      <c r="E70" s="27" t="s">
        <v>155</v>
      </c>
      <c r="F70" s="25" t="s">
        <v>12</v>
      </c>
      <c r="G70" s="21" t="s">
        <v>149</v>
      </c>
      <c r="H70" s="10"/>
      <c r="I70" s="10"/>
      <c r="J70" s="10"/>
      <c r="K70" s="10"/>
    </row>
    <row r="71" ht="30.0" customHeight="1">
      <c r="A71" s="22" t="s">
        <v>86</v>
      </c>
      <c r="B71" s="25" t="s">
        <v>87</v>
      </c>
      <c r="C71" s="6">
        <v>10800.0</v>
      </c>
      <c r="D71" s="20" t="str">
        <f t="shared" si="2"/>
        <v>Determina 61 del 22/01/2019</v>
      </c>
      <c r="E71" s="27" t="s">
        <v>174</v>
      </c>
      <c r="F71" s="25" t="s">
        <v>12</v>
      </c>
      <c r="G71" s="21" t="s">
        <v>149</v>
      </c>
      <c r="H71" s="10"/>
      <c r="I71" s="10"/>
      <c r="J71" s="10"/>
      <c r="K71" s="10"/>
    </row>
    <row r="72" ht="30.0" customHeight="1">
      <c r="A72" s="22" t="s">
        <v>29</v>
      </c>
      <c r="B72" s="25" t="s">
        <v>30</v>
      </c>
      <c r="C72" s="6">
        <v>10800.0</v>
      </c>
      <c r="D72" s="20" t="str">
        <f t="shared" si="2"/>
        <v>Determina 61 del 22/01/2019</v>
      </c>
      <c r="E72" s="27" t="s">
        <v>157</v>
      </c>
      <c r="F72" s="25" t="s">
        <v>12</v>
      </c>
      <c r="G72" s="21" t="s">
        <v>149</v>
      </c>
      <c r="H72" s="10"/>
      <c r="I72" s="10"/>
      <c r="J72" s="10"/>
      <c r="K72" s="10"/>
    </row>
    <row r="73" ht="30.0" customHeight="1">
      <c r="A73" s="22" t="s">
        <v>175</v>
      </c>
      <c r="B73" s="25" t="s">
        <v>176</v>
      </c>
      <c r="C73" s="6">
        <v>10800.0</v>
      </c>
      <c r="D73" s="20" t="str">
        <f t="shared" si="2"/>
        <v>Determina 61 del 22/01/2019</v>
      </c>
      <c r="E73" s="27" t="s">
        <v>157</v>
      </c>
      <c r="F73" s="25" t="s">
        <v>12</v>
      </c>
      <c r="G73" s="21" t="s">
        <v>149</v>
      </c>
      <c r="H73" s="10"/>
      <c r="I73" s="10"/>
      <c r="J73" s="10"/>
      <c r="K73" s="10"/>
    </row>
    <row r="74" ht="30.0" customHeight="1">
      <c r="A74" s="22" t="s">
        <v>177</v>
      </c>
      <c r="B74" s="25" t="s">
        <v>178</v>
      </c>
      <c r="C74" s="6">
        <v>14400.0</v>
      </c>
      <c r="D74" s="20" t="str">
        <f t="shared" si="2"/>
        <v>Determina 61 del 22/01/2019</v>
      </c>
      <c r="E74" s="27" t="s">
        <v>179</v>
      </c>
      <c r="F74" s="25" t="s">
        <v>12</v>
      </c>
      <c r="G74" s="21" t="s">
        <v>149</v>
      </c>
      <c r="H74" s="10"/>
      <c r="I74" s="10"/>
      <c r="J74" s="10"/>
      <c r="K74" s="10"/>
    </row>
    <row r="75" ht="30.0" customHeight="1">
      <c r="A75" s="22" t="s">
        <v>145</v>
      </c>
      <c r="B75" s="25" t="s">
        <v>180</v>
      </c>
      <c r="C75" s="6">
        <v>10800.0</v>
      </c>
      <c r="D75" s="20" t="str">
        <f t="shared" si="2"/>
        <v>Determina 61 del 22/01/2019</v>
      </c>
      <c r="E75" s="27" t="s">
        <v>157</v>
      </c>
      <c r="F75" s="25" t="s">
        <v>12</v>
      </c>
      <c r="G75" s="21" t="s">
        <v>149</v>
      </c>
      <c r="H75" s="10"/>
      <c r="I75" s="10"/>
      <c r="J75" s="10"/>
      <c r="K75" s="10"/>
    </row>
    <row r="76" ht="30.0" customHeight="1">
      <c r="A76" s="22" t="s">
        <v>181</v>
      </c>
      <c r="B76" s="31" t="s">
        <v>182</v>
      </c>
      <c r="C76" s="6">
        <v>16200.0</v>
      </c>
      <c r="D76" s="20" t="str">
        <f t="shared" si="2"/>
        <v>Determina 61 del 22/01/2019</v>
      </c>
      <c r="E76" s="27" t="s">
        <v>183</v>
      </c>
      <c r="F76" s="25" t="s">
        <v>12</v>
      </c>
      <c r="G76" s="21" t="s">
        <v>149</v>
      </c>
      <c r="H76" s="10"/>
      <c r="I76" s="10"/>
      <c r="J76" s="10"/>
      <c r="K76" s="10"/>
    </row>
    <row r="77" ht="30.0" customHeight="1">
      <c r="A77" s="22" t="s">
        <v>69</v>
      </c>
      <c r="B77" s="31" t="s">
        <v>70</v>
      </c>
      <c r="C77" s="6">
        <v>9000.0</v>
      </c>
      <c r="D77" s="15" t="str">
        <f t="shared" ref="D77:D78" si="3">HYPERLINK("http://www.usrc.it/AppRendiConta/det_62_20190122.pdf","Determina 62 del 22/01/2019")</f>
        <v>Determina 62 del 22/01/2019</v>
      </c>
      <c r="E77" s="16" t="s">
        <v>184</v>
      </c>
      <c r="F77" s="25" t="s">
        <v>12</v>
      </c>
      <c r="G77" s="18" t="s">
        <v>185</v>
      </c>
      <c r="H77" s="10"/>
      <c r="I77" s="10"/>
      <c r="J77" s="10"/>
      <c r="K77" s="10"/>
    </row>
    <row r="78" ht="30.0" customHeight="1">
      <c r="A78" s="22" t="s">
        <v>133</v>
      </c>
      <c r="B78" s="31" t="s">
        <v>134</v>
      </c>
      <c r="C78" s="6">
        <v>6000.0</v>
      </c>
      <c r="D78" s="15" t="str">
        <f t="shared" si="3"/>
        <v>Determina 62 del 22/01/2019</v>
      </c>
      <c r="E78" s="16" t="s">
        <v>184</v>
      </c>
      <c r="F78" s="25" t="s">
        <v>12</v>
      </c>
      <c r="G78" s="18" t="s">
        <v>185</v>
      </c>
      <c r="H78" s="10"/>
      <c r="I78" s="10"/>
      <c r="J78" s="10"/>
      <c r="K78" s="10"/>
    </row>
    <row r="79" ht="30.0" customHeight="1">
      <c r="A79" s="12" t="s">
        <v>102</v>
      </c>
      <c r="B79" s="32" t="s">
        <v>103</v>
      </c>
      <c r="C79" s="6">
        <v>35434.44</v>
      </c>
      <c r="D79" s="15" t="str">
        <f>HYPERLINK("http://www.usrc.it/AppRendiConta/det_67_20190123.pdf","Determina 67 del 23/01/2019")</f>
        <v>Determina 67 del 23/01/2019</v>
      </c>
      <c r="E79" s="12" t="s">
        <v>186</v>
      </c>
      <c r="F79" s="25" t="s">
        <v>12</v>
      </c>
      <c r="G79" s="21" t="s">
        <v>187</v>
      </c>
      <c r="H79" s="10"/>
      <c r="I79" s="10"/>
      <c r="J79" s="10"/>
      <c r="K79" s="10"/>
    </row>
    <row r="80" ht="30.0" customHeight="1">
      <c r="A80" s="12" t="s">
        <v>188</v>
      </c>
      <c r="B80" s="33" t="s">
        <v>189</v>
      </c>
      <c r="C80" s="6">
        <v>32000.0</v>
      </c>
      <c r="D80" s="20" t="str">
        <f>HYPERLINK("http://www.usrc.it/AppRendiConta/det_68_20190123.pdf","Determina 68 del 23/01/2019")</f>
        <v>Determina 68 del 23/01/2019</v>
      </c>
      <c r="E80" s="12" t="s">
        <v>190</v>
      </c>
      <c r="F80" s="25" t="s">
        <v>12</v>
      </c>
      <c r="G80" s="21" t="s">
        <v>191</v>
      </c>
      <c r="H80" s="10"/>
      <c r="I80" s="10"/>
      <c r="J80" s="10"/>
      <c r="K80" s="10"/>
    </row>
    <row r="81" ht="30.0" customHeight="1">
      <c r="A81" s="12" t="s">
        <v>48</v>
      </c>
      <c r="B81" s="33" t="s">
        <v>49</v>
      </c>
      <c r="C81" s="6">
        <v>31866.4</v>
      </c>
      <c r="D81" s="20" t="str">
        <f>HYPERLINK("http://www.usrc.it/AppRendiConta/det_69_20190123.pdf","Determina 69 del 23/01/2019")</f>
        <v>Determina 69 del 23/01/2019</v>
      </c>
      <c r="E81" s="12" t="s">
        <v>192</v>
      </c>
      <c r="F81" s="25" t="s">
        <v>12</v>
      </c>
      <c r="G81" s="21" t="s">
        <v>191</v>
      </c>
      <c r="H81" s="10"/>
      <c r="I81" s="10"/>
      <c r="J81" s="10"/>
      <c r="K81" s="10"/>
    </row>
    <row r="82" ht="30.0" customHeight="1">
      <c r="A82" s="12" t="s">
        <v>193</v>
      </c>
      <c r="B82" s="34" t="s">
        <v>194</v>
      </c>
      <c r="C82" s="6">
        <v>20509.28</v>
      </c>
      <c r="D82" s="20" t="str">
        <f>HYPERLINK("http://www.usrc.it/AppRendiConta/det_71_20190123.pdf","Determina 71 del 23/01/2019")</f>
        <v>Determina 71 del 23/01/2019</v>
      </c>
      <c r="E82" s="12" t="s">
        <v>195</v>
      </c>
      <c r="F82" s="25" t="s">
        <v>12</v>
      </c>
      <c r="G82" s="21" t="s">
        <v>17</v>
      </c>
      <c r="H82" s="10"/>
      <c r="I82" s="10"/>
      <c r="J82" s="10"/>
      <c r="K82" s="10"/>
    </row>
    <row r="83" ht="30.0" customHeight="1">
      <c r="A83" s="12" t="s">
        <v>196</v>
      </c>
      <c r="B83" s="33" t="s">
        <v>197</v>
      </c>
      <c r="C83" s="6">
        <v>333208.66</v>
      </c>
      <c r="D83" s="20" t="str">
        <f>HYPERLINK("http://www.usrc.it/AppRendiConta/det_73_20190124.pdf","Determina 73 del 24/01/2019")</f>
        <v>Determina 73 del 24/01/2019</v>
      </c>
      <c r="E83" s="12" t="s">
        <v>198</v>
      </c>
      <c r="F83" s="25" t="s">
        <v>12</v>
      </c>
      <c r="G83" s="21" t="s">
        <v>13</v>
      </c>
      <c r="H83" s="10"/>
      <c r="I83" s="10"/>
      <c r="J83" s="10"/>
      <c r="K83" s="10"/>
    </row>
    <row r="84" ht="30.0" customHeight="1">
      <c r="A84" s="4" t="s">
        <v>18</v>
      </c>
      <c r="B84" s="35" t="s">
        <v>19</v>
      </c>
      <c r="C84" s="6">
        <v>7000.0</v>
      </c>
      <c r="D84" s="7" t="str">
        <f t="shared" ref="D84:D92" si="4">HYPERLINK("http://www.usrc.it/AppRendiConta/det_75_20190128.pdf","Determina 75 del 28/01/2019")</f>
        <v>Determina 75 del 28/01/2019</v>
      </c>
      <c r="E84" s="8" t="s">
        <v>199</v>
      </c>
      <c r="F84" s="5" t="s">
        <v>12</v>
      </c>
      <c r="G84" s="9" t="s">
        <v>200</v>
      </c>
      <c r="H84" s="10"/>
      <c r="I84" s="10"/>
      <c r="J84" s="10"/>
      <c r="K84" s="10"/>
    </row>
    <row r="85" ht="30.0" customHeight="1">
      <c r="A85" s="4" t="s">
        <v>201</v>
      </c>
      <c r="B85" s="35" t="s">
        <v>202</v>
      </c>
      <c r="C85" s="6">
        <v>123350.0</v>
      </c>
      <c r="D85" s="7" t="str">
        <f t="shared" si="4"/>
        <v>Determina 75 del 28/01/2019</v>
      </c>
      <c r="E85" s="8" t="s">
        <v>203</v>
      </c>
      <c r="F85" s="5" t="s">
        <v>12</v>
      </c>
      <c r="G85" s="9" t="s">
        <v>200</v>
      </c>
      <c r="H85" s="10"/>
      <c r="I85" s="10"/>
      <c r="J85" s="10"/>
      <c r="K85" s="10"/>
    </row>
    <row r="86" ht="30.0" customHeight="1">
      <c r="A86" s="4" t="s">
        <v>164</v>
      </c>
      <c r="B86" s="36" t="s">
        <v>165</v>
      </c>
      <c r="C86" s="6">
        <v>4583.33</v>
      </c>
      <c r="D86" s="7" t="str">
        <f t="shared" si="4"/>
        <v>Determina 75 del 28/01/2019</v>
      </c>
      <c r="E86" s="8" t="s">
        <v>204</v>
      </c>
      <c r="F86" s="5" t="s">
        <v>12</v>
      </c>
      <c r="G86" s="9" t="s">
        <v>200</v>
      </c>
      <c r="H86" s="10"/>
      <c r="I86" s="10"/>
      <c r="J86" s="10"/>
      <c r="K86" s="10"/>
    </row>
    <row r="87" ht="30.0" customHeight="1">
      <c r="A87" s="4" t="s">
        <v>130</v>
      </c>
      <c r="B87" s="36" t="s">
        <v>131</v>
      </c>
      <c r="C87" s="6">
        <v>20000.0</v>
      </c>
      <c r="D87" s="7" t="str">
        <f t="shared" si="4"/>
        <v>Determina 75 del 28/01/2019</v>
      </c>
      <c r="E87" s="8" t="s">
        <v>205</v>
      </c>
      <c r="F87" s="5" t="s">
        <v>12</v>
      </c>
      <c r="G87" s="9" t="s">
        <v>200</v>
      </c>
      <c r="H87" s="10"/>
      <c r="I87" s="10"/>
      <c r="J87" s="10"/>
      <c r="K87" s="10"/>
    </row>
    <row r="88" ht="30.0" customHeight="1">
      <c r="A88" s="4" t="s">
        <v>177</v>
      </c>
      <c r="B88" s="36" t="s">
        <v>178</v>
      </c>
      <c r="C88" s="6">
        <v>32200.0</v>
      </c>
      <c r="D88" s="7" t="str">
        <f t="shared" si="4"/>
        <v>Determina 75 del 28/01/2019</v>
      </c>
      <c r="E88" s="8" t="s">
        <v>206</v>
      </c>
      <c r="F88" s="5" t="s">
        <v>12</v>
      </c>
      <c r="G88" s="9" t="s">
        <v>200</v>
      </c>
      <c r="H88" s="10"/>
      <c r="I88" s="10"/>
      <c r="J88" s="10"/>
      <c r="K88" s="10"/>
    </row>
    <row r="89" ht="30.0" customHeight="1">
      <c r="A89" s="4" t="s">
        <v>171</v>
      </c>
      <c r="B89" s="36" t="s">
        <v>172</v>
      </c>
      <c r="C89" s="6">
        <v>1600.0</v>
      </c>
      <c r="D89" s="7" t="str">
        <f t="shared" si="4"/>
        <v>Determina 75 del 28/01/2019</v>
      </c>
      <c r="E89" s="8" t="s">
        <v>207</v>
      </c>
      <c r="F89" s="5" t="s">
        <v>12</v>
      </c>
      <c r="G89" s="9" t="s">
        <v>200</v>
      </c>
      <c r="H89" s="10"/>
      <c r="I89" s="10"/>
      <c r="J89" s="10"/>
      <c r="K89" s="10"/>
    </row>
    <row r="90" ht="30.0" customHeight="1">
      <c r="A90" s="4" t="s">
        <v>158</v>
      </c>
      <c r="B90" s="36" t="s">
        <v>159</v>
      </c>
      <c r="C90" s="6">
        <v>19363.33</v>
      </c>
      <c r="D90" s="7" t="str">
        <f t="shared" si="4"/>
        <v>Determina 75 del 28/01/2019</v>
      </c>
      <c r="E90" s="8" t="s">
        <v>208</v>
      </c>
      <c r="F90" s="5" t="s">
        <v>12</v>
      </c>
      <c r="G90" s="9" t="s">
        <v>200</v>
      </c>
      <c r="H90" s="10"/>
      <c r="I90" s="10"/>
      <c r="J90" s="10"/>
      <c r="K90" s="10"/>
    </row>
    <row r="91" ht="30.0" customHeight="1">
      <c r="A91" s="4" t="s">
        <v>29</v>
      </c>
      <c r="B91" s="35" t="s">
        <v>30</v>
      </c>
      <c r="C91" s="6">
        <v>3200.0</v>
      </c>
      <c r="D91" s="7" t="str">
        <f t="shared" si="4"/>
        <v>Determina 75 del 28/01/2019</v>
      </c>
      <c r="E91" s="8" t="s">
        <v>209</v>
      </c>
      <c r="F91" s="5" t="s">
        <v>12</v>
      </c>
      <c r="G91" s="9" t="s">
        <v>200</v>
      </c>
      <c r="H91" s="10"/>
      <c r="I91" s="10"/>
      <c r="J91" s="10"/>
      <c r="K91" s="10"/>
    </row>
    <row r="92" ht="30.0" customHeight="1">
      <c r="A92" s="4" t="s">
        <v>169</v>
      </c>
      <c r="B92" s="35" t="s">
        <v>170</v>
      </c>
      <c r="C92" s="6">
        <v>10600.0</v>
      </c>
      <c r="D92" s="7" t="str">
        <f t="shared" si="4"/>
        <v>Determina 75 del 28/01/2019</v>
      </c>
      <c r="E92" s="8" t="s">
        <v>210</v>
      </c>
      <c r="F92" s="5" t="s">
        <v>12</v>
      </c>
      <c r="G92" s="9" t="s">
        <v>200</v>
      </c>
      <c r="H92" s="10"/>
      <c r="I92" s="10"/>
      <c r="J92" s="10"/>
      <c r="K92" s="10"/>
    </row>
    <row r="93" ht="30.0" customHeight="1">
      <c r="A93" s="4" t="s">
        <v>211</v>
      </c>
      <c r="B93" s="35" t="s">
        <v>212</v>
      </c>
      <c r="C93" s="6">
        <v>38678.07</v>
      </c>
      <c r="D93" s="7" t="str">
        <f t="shared" ref="D93:D95" si="5">HYPERLINK("http://www.usrc.it/AppRendiConta/det_76_20190128.pdf","Determina 76 del 28/01/2019")</f>
        <v>Determina 76 del 28/01/2019</v>
      </c>
      <c r="E93" s="8" t="s">
        <v>213</v>
      </c>
      <c r="F93" s="5" t="s">
        <v>12</v>
      </c>
      <c r="G93" s="9" t="s">
        <v>200</v>
      </c>
      <c r="H93" s="10"/>
      <c r="I93" s="10"/>
      <c r="J93" s="10"/>
      <c r="K93" s="10"/>
    </row>
    <row r="94" ht="30.0" customHeight="1">
      <c r="A94" s="4" t="s">
        <v>214</v>
      </c>
      <c r="B94" s="36" t="s">
        <v>215</v>
      </c>
      <c r="C94" s="6">
        <v>19580.65</v>
      </c>
      <c r="D94" s="7" t="str">
        <f t="shared" si="5"/>
        <v>Determina 76 del 28/01/2019</v>
      </c>
      <c r="E94" s="8" t="s">
        <v>216</v>
      </c>
      <c r="F94" s="5" t="s">
        <v>12</v>
      </c>
      <c r="G94" s="9" t="s">
        <v>200</v>
      </c>
      <c r="H94" s="10"/>
      <c r="I94" s="10"/>
      <c r="J94" s="10"/>
      <c r="K94" s="10"/>
    </row>
    <row r="95" ht="30.0" customHeight="1">
      <c r="A95" s="4" t="s">
        <v>217</v>
      </c>
      <c r="B95" s="36" t="s">
        <v>218</v>
      </c>
      <c r="C95" s="6">
        <v>81009.68</v>
      </c>
      <c r="D95" s="7" t="str">
        <f t="shared" si="5"/>
        <v>Determina 76 del 28/01/2019</v>
      </c>
      <c r="E95" s="8" t="s">
        <v>219</v>
      </c>
      <c r="F95" s="5" t="s">
        <v>12</v>
      </c>
      <c r="G95" s="9" t="s">
        <v>200</v>
      </c>
      <c r="H95" s="10"/>
      <c r="I95" s="10"/>
      <c r="J95" s="10"/>
      <c r="K95" s="10"/>
    </row>
    <row r="96" ht="30.0" customHeight="1">
      <c r="A96" s="4" t="s">
        <v>220</v>
      </c>
      <c r="B96" s="36" t="s">
        <v>221</v>
      </c>
      <c r="C96" s="6">
        <v>6628.77</v>
      </c>
      <c r="D96" s="7" t="str">
        <f t="shared" ref="D96:D111" si="6">HYPERLINK("http://www.usrc.it/AppRendiConta/det_77_20190128.pdf","Determina 77 del 28/01/2019")</f>
        <v>Determina 77 del 28/01/2019</v>
      </c>
      <c r="E96" s="8" t="s">
        <v>222</v>
      </c>
      <c r="F96" s="5" t="s">
        <v>12</v>
      </c>
      <c r="G96" s="9" t="s">
        <v>223</v>
      </c>
      <c r="H96" s="10"/>
      <c r="I96" s="10"/>
      <c r="J96" s="10"/>
      <c r="K96" s="10"/>
    </row>
    <row r="97" ht="30.0" customHeight="1">
      <c r="A97" s="4" t="s">
        <v>29</v>
      </c>
      <c r="B97" s="35" t="s">
        <v>30</v>
      </c>
      <c r="C97" s="6">
        <v>7854.0</v>
      </c>
      <c r="D97" s="7" t="str">
        <f t="shared" si="6"/>
        <v>Determina 77 del 28/01/2019</v>
      </c>
      <c r="E97" s="8" t="s">
        <v>224</v>
      </c>
      <c r="F97" s="5" t="s">
        <v>12</v>
      </c>
      <c r="G97" s="9" t="s">
        <v>225</v>
      </c>
      <c r="H97" s="10"/>
      <c r="I97" s="10"/>
      <c r="J97" s="10"/>
      <c r="K97" s="10"/>
    </row>
    <row r="98" ht="30.0" customHeight="1">
      <c r="A98" s="4" t="s">
        <v>167</v>
      </c>
      <c r="B98" s="35" t="s">
        <v>168</v>
      </c>
      <c r="C98" s="6">
        <v>9294.69</v>
      </c>
      <c r="D98" s="7" t="str">
        <f t="shared" si="6"/>
        <v>Determina 77 del 28/01/2019</v>
      </c>
      <c r="E98" s="8" t="s">
        <v>226</v>
      </c>
      <c r="F98" s="5" t="s">
        <v>12</v>
      </c>
      <c r="G98" s="9" t="s">
        <v>227</v>
      </c>
      <c r="H98" s="10"/>
      <c r="I98" s="10"/>
      <c r="J98" s="10"/>
      <c r="K98" s="10"/>
    </row>
    <row r="99" ht="30.0" customHeight="1">
      <c r="A99" s="4" t="s">
        <v>228</v>
      </c>
      <c r="B99" s="35" t="s">
        <v>229</v>
      </c>
      <c r="C99" s="6">
        <v>5177.5</v>
      </c>
      <c r="D99" s="7" t="str">
        <f t="shared" si="6"/>
        <v>Determina 77 del 28/01/2019</v>
      </c>
      <c r="E99" s="8" t="s">
        <v>230</v>
      </c>
      <c r="F99" s="5" t="s">
        <v>12</v>
      </c>
      <c r="G99" s="9" t="s">
        <v>227</v>
      </c>
      <c r="H99" s="10"/>
      <c r="I99" s="10"/>
      <c r="J99" s="10"/>
      <c r="K99" s="10"/>
    </row>
    <row r="100" ht="30.0" customHeight="1">
      <c r="A100" s="4" t="s">
        <v>158</v>
      </c>
      <c r="B100" s="35" t="s">
        <v>159</v>
      </c>
      <c r="C100" s="6">
        <v>25305.28</v>
      </c>
      <c r="D100" s="7" t="str">
        <f t="shared" si="6"/>
        <v>Determina 77 del 28/01/2019</v>
      </c>
      <c r="E100" s="8" t="s">
        <v>231</v>
      </c>
      <c r="F100" s="5" t="s">
        <v>12</v>
      </c>
      <c r="G100" s="9" t="s">
        <v>227</v>
      </c>
      <c r="H100" s="10"/>
      <c r="I100" s="10"/>
      <c r="J100" s="10"/>
      <c r="K100" s="10"/>
    </row>
    <row r="101" ht="30.0" customHeight="1">
      <c r="A101" s="4" t="s">
        <v>90</v>
      </c>
      <c r="B101" s="35" t="s">
        <v>91</v>
      </c>
      <c r="C101" s="6">
        <v>1800.0</v>
      </c>
      <c r="D101" s="7" t="str">
        <f t="shared" si="6"/>
        <v>Determina 77 del 28/01/2019</v>
      </c>
      <c r="E101" s="8" t="s">
        <v>231</v>
      </c>
      <c r="F101" s="5" t="s">
        <v>12</v>
      </c>
      <c r="G101" s="9" t="s">
        <v>227</v>
      </c>
      <c r="H101" s="10"/>
      <c r="I101" s="10"/>
      <c r="J101" s="10"/>
      <c r="K101" s="10"/>
    </row>
    <row r="102" ht="30.0" customHeight="1">
      <c r="A102" s="4" t="s">
        <v>72</v>
      </c>
      <c r="B102" s="35" t="s">
        <v>73</v>
      </c>
      <c r="C102" s="6">
        <v>427.0</v>
      </c>
      <c r="D102" s="7" t="str">
        <f t="shared" si="6"/>
        <v>Determina 77 del 28/01/2019</v>
      </c>
      <c r="E102" s="8" t="s">
        <v>232</v>
      </c>
      <c r="F102" s="5" t="s">
        <v>12</v>
      </c>
      <c r="G102" s="9" t="s">
        <v>227</v>
      </c>
      <c r="H102" s="10"/>
      <c r="I102" s="10"/>
      <c r="J102" s="10"/>
      <c r="K102" s="10"/>
    </row>
    <row r="103" ht="30.0" customHeight="1">
      <c r="A103" s="12" t="s">
        <v>75</v>
      </c>
      <c r="B103" s="37" t="s">
        <v>76</v>
      </c>
      <c r="C103" s="6">
        <v>4123.6</v>
      </c>
      <c r="D103" s="7" t="str">
        <f t="shared" si="6"/>
        <v>Determina 77 del 28/01/2019</v>
      </c>
      <c r="E103" s="12" t="s">
        <v>233</v>
      </c>
      <c r="F103" s="17" t="s">
        <v>12</v>
      </c>
      <c r="G103" s="9" t="s">
        <v>227</v>
      </c>
      <c r="H103" s="10"/>
      <c r="I103" s="10"/>
      <c r="J103" s="10"/>
      <c r="K103" s="10"/>
    </row>
    <row r="104" ht="30.0" customHeight="1">
      <c r="A104" s="12" t="s">
        <v>234</v>
      </c>
      <c r="B104" s="35" t="s">
        <v>235</v>
      </c>
      <c r="C104" s="6">
        <v>2452.2</v>
      </c>
      <c r="D104" s="7" t="str">
        <f t="shared" si="6"/>
        <v>Determina 77 del 28/01/2019</v>
      </c>
      <c r="E104" s="12" t="s">
        <v>236</v>
      </c>
      <c r="F104" s="17" t="s">
        <v>12</v>
      </c>
      <c r="G104" s="9" t="s">
        <v>227</v>
      </c>
      <c r="H104" s="10"/>
      <c r="I104" s="10"/>
      <c r="J104" s="10"/>
      <c r="K104" s="10"/>
    </row>
    <row r="105" ht="30.0" customHeight="1">
      <c r="A105" s="12" t="s">
        <v>48</v>
      </c>
      <c r="B105" s="38" t="s">
        <v>49</v>
      </c>
      <c r="C105" s="6">
        <v>2500.0</v>
      </c>
      <c r="D105" s="7" t="str">
        <f t="shared" si="6"/>
        <v>Determina 77 del 28/01/2019</v>
      </c>
      <c r="E105" s="12" t="s">
        <v>231</v>
      </c>
      <c r="F105" s="25" t="s">
        <v>12</v>
      </c>
      <c r="G105" s="9" t="s">
        <v>227</v>
      </c>
      <c r="H105" s="10"/>
      <c r="I105" s="10"/>
      <c r="J105" s="10"/>
      <c r="K105" s="10"/>
    </row>
    <row r="106" ht="30.0" customHeight="1">
      <c r="A106" s="12" t="s">
        <v>69</v>
      </c>
      <c r="B106" s="38" t="s">
        <v>70</v>
      </c>
      <c r="C106" s="6">
        <v>4934.9</v>
      </c>
      <c r="D106" s="7" t="str">
        <f t="shared" si="6"/>
        <v>Determina 77 del 28/01/2019</v>
      </c>
      <c r="E106" s="12" t="s">
        <v>237</v>
      </c>
      <c r="F106" s="25" t="s">
        <v>12</v>
      </c>
      <c r="G106" s="9" t="s">
        <v>227</v>
      </c>
      <c r="H106" s="10"/>
      <c r="I106" s="10"/>
      <c r="J106" s="10"/>
      <c r="K106" s="10"/>
    </row>
    <row r="107" ht="30.0" customHeight="1">
      <c r="A107" s="12" t="s">
        <v>238</v>
      </c>
      <c r="B107" s="35" t="s">
        <v>239</v>
      </c>
      <c r="C107" s="6">
        <v>6539.0</v>
      </c>
      <c r="D107" s="7" t="str">
        <f t="shared" si="6"/>
        <v>Determina 77 del 28/01/2019</v>
      </c>
      <c r="E107" s="12" t="s">
        <v>240</v>
      </c>
      <c r="F107" s="17" t="s">
        <v>12</v>
      </c>
      <c r="G107" s="9" t="s">
        <v>227</v>
      </c>
      <c r="H107" s="10"/>
      <c r="I107" s="10"/>
      <c r="J107" s="10"/>
      <c r="K107" s="10"/>
    </row>
    <row r="108" ht="30.0" customHeight="1">
      <c r="A108" s="12" t="s">
        <v>66</v>
      </c>
      <c r="B108" s="35" t="s">
        <v>67</v>
      </c>
      <c r="C108" s="6">
        <v>1220.0</v>
      </c>
      <c r="D108" s="7" t="str">
        <f t="shared" si="6"/>
        <v>Determina 77 del 28/01/2019</v>
      </c>
      <c r="E108" s="12" t="s">
        <v>241</v>
      </c>
      <c r="F108" s="17" t="s">
        <v>12</v>
      </c>
      <c r="G108" s="9" t="s">
        <v>227</v>
      </c>
      <c r="H108" s="10"/>
      <c r="I108" s="10"/>
      <c r="J108" s="10"/>
      <c r="K108" s="10"/>
    </row>
    <row r="109" ht="30.0" customHeight="1">
      <c r="A109" s="12" t="s">
        <v>130</v>
      </c>
      <c r="B109" s="35" t="s">
        <v>131</v>
      </c>
      <c r="C109" s="6">
        <v>25988.4</v>
      </c>
      <c r="D109" s="7" t="str">
        <f t="shared" si="6"/>
        <v>Determina 77 del 28/01/2019</v>
      </c>
      <c r="E109" s="12" t="s">
        <v>242</v>
      </c>
      <c r="F109" s="17" t="s">
        <v>12</v>
      </c>
      <c r="G109" s="9" t="s">
        <v>227</v>
      </c>
      <c r="H109" s="10"/>
      <c r="I109" s="10"/>
      <c r="J109" s="10"/>
      <c r="K109" s="10"/>
    </row>
    <row r="110" ht="30.0" customHeight="1">
      <c r="A110" s="12" t="s">
        <v>201</v>
      </c>
      <c r="B110" s="35" t="s">
        <v>202</v>
      </c>
      <c r="C110" s="6">
        <v>16660.5</v>
      </c>
      <c r="D110" s="7" t="str">
        <f t="shared" si="6"/>
        <v>Determina 77 del 28/01/2019</v>
      </c>
      <c r="E110" s="12" t="s">
        <v>243</v>
      </c>
      <c r="F110" s="17" t="s">
        <v>12</v>
      </c>
      <c r="G110" s="9" t="s">
        <v>227</v>
      </c>
      <c r="H110" s="10"/>
      <c r="I110" s="10"/>
      <c r="J110" s="10"/>
      <c r="K110" s="10"/>
    </row>
    <row r="111" ht="30.0" customHeight="1">
      <c r="A111" s="12" t="s">
        <v>244</v>
      </c>
      <c r="B111" s="35" t="s">
        <v>245</v>
      </c>
      <c r="C111" s="6">
        <v>3062.2</v>
      </c>
      <c r="D111" s="7" t="str">
        <f t="shared" si="6"/>
        <v>Determina 77 del 28/01/2019</v>
      </c>
      <c r="E111" s="12" t="s">
        <v>246</v>
      </c>
      <c r="F111" s="17" t="s">
        <v>12</v>
      </c>
      <c r="G111" s="9" t="s">
        <v>227</v>
      </c>
      <c r="H111" s="10"/>
      <c r="I111" s="10"/>
      <c r="J111" s="10"/>
      <c r="K111" s="10"/>
    </row>
    <row r="112" ht="30.0" customHeight="1">
      <c r="A112" s="12" t="s">
        <v>217</v>
      </c>
      <c r="B112" s="35" t="s">
        <v>218</v>
      </c>
      <c r="C112" s="6">
        <v>22264.9</v>
      </c>
      <c r="D112" s="15" t="str">
        <f t="shared" ref="D112:D113" si="7">HYPERLINK("http://www.usrc.it/AppRendiConta/det_78_20190128.pdf","Determina 78 del 28/01/2019")</f>
        <v>Determina 78 del 28/01/2019</v>
      </c>
      <c r="E112" s="12" t="s">
        <v>247</v>
      </c>
      <c r="F112" s="17" t="s">
        <v>12</v>
      </c>
      <c r="G112" s="21" t="s">
        <v>227</v>
      </c>
      <c r="H112" s="10"/>
      <c r="I112" s="10"/>
      <c r="J112" s="10"/>
      <c r="K112" s="10"/>
    </row>
    <row r="113" ht="30.0" customHeight="1">
      <c r="A113" s="12" t="s">
        <v>211</v>
      </c>
      <c r="B113" s="35" t="s">
        <v>212</v>
      </c>
      <c r="C113" s="6">
        <v>7196.0</v>
      </c>
      <c r="D113" s="15" t="str">
        <f t="shared" si="7"/>
        <v>Determina 78 del 28/01/2019</v>
      </c>
      <c r="E113" s="12" t="s">
        <v>248</v>
      </c>
      <c r="F113" s="17" t="s">
        <v>12</v>
      </c>
      <c r="G113" s="21" t="s">
        <v>227</v>
      </c>
      <c r="H113" s="10"/>
      <c r="I113" s="10"/>
      <c r="J113" s="10"/>
      <c r="K113" s="10"/>
    </row>
    <row r="114" ht="30.0" customHeight="1">
      <c r="A114" s="12" t="s">
        <v>169</v>
      </c>
      <c r="B114" s="35" t="s">
        <v>170</v>
      </c>
      <c r="C114" s="6">
        <v>1113.24</v>
      </c>
      <c r="D114" s="15" t="str">
        <f>HYPERLINK("http://www.usrc.it/AppRendiConta/det_79_20190128.pdf","Determina 79 del 28/01/2019")</f>
        <v>Determina 79 del 28/01/2019</v>
      </c>
      <c r="E114" s="12" t="s">
        <v>249</v>
      </c>
      <c r="F114" s="17" t="s">
        <v>12</v>
      </c>
      <c r="G114" s="21" t="s">
        <v>101</v>
      </c>
      <c r="H114" s="10"/>
      <c r="I114" s="10"/>
      <c r="J114" s="10"/>
      <c r="K114" s="10"/>
    </row>
    <row r="115" ht="30.0" customHeight="1">
      <c r="A115" s="12" t="s">
        <v>250</v>
      </c>
      <c r="B115" s="35" t="s">
        <v>251</v>
      </c>
      <c r="C115" s="6">
        <v>39710.0</v>
      </c>
      <c r="D115" s="15" t="str">
        <f>HYPERLINK("http://www.usrc.it/AppRendiConta/det_80_20190128.pdf","Determina 80 del 28/01/2019")</f>
        <v>Determina 80 del 28/01/2019</v>
      </c>
      <c r="E115" s="12" t="s">
        <v>252</v>
      </c>
      <c r="F115" s="17" t="s">
        <v>12</v>
      </c>
      <c r="G115" s="21" t="s">
        <v>101</v>
      </c>
      <c r="H115" s="10"/>
      <c r="I115" s="10"/>
      <c r="J115" s="10"/>
      <c r="K115" s="10"/>
    </row>
    <row r="116" ht="30.0" customHeight="1">
      <c r="A116" s="12" t="s">
        <v>145</v>
      </c>
      <c r="B116" s="35" t="s">
        <v>146</v>
      </c>
      <c r="C116" s="6">
        <v>1494.5</v>
      </c>
      <c r="D116" s="15" t="str">
        <f>HYPERLINK("http://www.usrc.it/AppRendiConta/det_85_20190128.pdf","Determina 85 del 28/01/2019")</f>
        <v>Determina 85 del 28/01/2019</v>
      </c>
      <c r="E116" s="12" t="s">
        <v>253</v>
      </c>
      <c r="F116" s="17" t="s">
        <v>12</v>
      </c>
      <c r="G116" s="21" t="s">
        <v>81</v>
      </c>
      <c r="H116" s="10"/>
      <c r="I116" s="10"/>
      <c r="J116" s="10"/>
      <c r="K116" s="10"/>
    </row>
    <row r="117" ht="30.0" customHeight="1">
      <c r="A117" s="12" t="s">
        <v>175</v>
      </c>
      <c r="B117" s="35" t="s">
        <v>176</v>
      </c>
      <c r="C117" s="6">
        <v>37711.28</v>
      </c>
      <c r="D117" s="15" t="str">
        <f>HYPERLINK("http://www.usrc.it/AppRendiConta/det_86_20190128.pdf","Determina 86 del 28/01/2019")</f>
        <v>Determina 86 del 28/01/2019</v>
      </c>
      <c r="E117" s="12" t="s">
        <v>254</v>
      </c>
      <c r="F117" s="17" t="s">
        <v>12</v>
      </c>
      <c r="G117" s="21" t="s">
        <v>81</v>
      </c>
      <c r="H117" s="10"/>
      <c r="I117" s="10"/>
      <c r="J117" s="10"/>
      <c r="K117" s="10"/>
    </row>
    <row r="118" ht="30.0" customHeight="1">
      <c r="A118" s="12" t="s">
        <v>29</v>
      </c>
      <c r="B118" s="35" t="s">
        <v>30</v>
      </c>
      <c r="C118" s="6">
        <v>858.0</v>
      </c>
      <c r="D118" s="15" t="str">
        <f>HYPERLINK("http://www.usrc.it/AppRendiConta/det_87_20190128.pdf","Determina 87 del 28/01/2019")</f>
        <v>Determina 87 del 28/01/2019</v>
      </c>
      <c r="E118" s="12" t="s">
        <v>255</v>
      </c>
      <c r="F118" s="17" t="s">
        <v>12</v>
      </c>
      <c r="G118" s="18" t="s">
        <v>81</v>
      </c>
      <c r="H118" s="10"/>
      <c r="I118" s="10"/>
      <c r="J118" s="10"/>
      <c r="K118" s="10"/>
    </row>
    <row r="119" ht="30.0" customHeight="1">
      <c r="A119" s="12" t="s">
        <v>133</v>
      </c>
      <c r="B119" s="35" t="s">
        <v>134</v>
      </c>
      <c r="C119" s="6">
        <v>124058.71</v>
      </c>
      <c r="D119" s="15" t="str">
        <f>HYPERLINK("http://www.usrc.it/AppRendiConta/det_88_20190128.pdf","Determina 88 del 28/01/2019")</f>
        <v>Determina 88 del 28/01/2019</v>
      </c>
      <c r="E119" s="12" t="s">
        <v>256</v>
      </c>
      <c r="F119" s="17" t="s">
        <v>12</v>
      </c>
      <c r="G119" s="18" t="s">
        <v>101</v>
      </c>
      <c r="H119" s="10"/>
      <c r="I119" s="10"/>
      <c r="J119" s="10"/>
      <c r="K119" s="10"/>
    </row>
    <row r="120" ht="30.0" customHeight="1">
      <c r="A120" s="12" t="s">
        <v>136</v>
      </c>
      <c r="B120" s="39" t="s">
        <v>137</v>
      </c>
      <c r="C120" s="6">
        <v>3560037.13</v>
      </c>
      <c r="D120" s="40" t="str">
        <f>HYPERLINK(" http://www.usrc.it/AppRendiConta/det_95_20190131.pdf","Determina 95 del 31/01/2019")</f>
        <v>Determina 95 del 31/01/2019</v>
      </c>
      <c r="E120" s="41" t="s">
        <v>257</v>
      </c>
      <c r="F120" s="17" t="s">
        <v>12</v>
      </c>
      <c r="G120" s="42" t="s">
        <v>13</v>
      </c>
      <c r="H120" s="10"/>
      <c r="I120" s="10"/>
      <c r="J120" s="10"/>
      <c r="K120" s="10"/>
    </row>
    <row r="121" ht="30.0" customHeight="1">
      <c r="A121" s="21" t="s">
        <v>102</v>
      </c>
      <c r="B121" s="35" t="s">
        <v>103</v>
      </c>
      <c r="C121" s="6">
        <v>31840.0</v>
      </c>
      <c r="D121" s="15" t="str">
        <f>HYPERLINK("http://www.usrc.it/AppRendiConta/det_98_20190205.pdf","Determina 98 del 05/02/2019")</f>
        <v>Determina 98 del 05/02/2019</v>
      </c>
      <c r="E121" s="12" t="s">
        <v>258</v>
      </c>
      <c r="F121" s="17" t="s">
        <v>12</v>
      </c>
      <c r="G121" s="18" t="s">
        <v>191</v>
      </c>
      <c r="H121" s="10"/>
      <c r="I121" s="10"/>
      <c r="J121" s="10"/>
      <c r="K121" s="10"/>
    </row>
    <row r="122" ht="30.0" customHeight="1">
      <c r="A122" s="12" t="s">
        <v>78</v>
      </c>
      <c r="B122" s="35" t="s">
        <v>79</v>
      </c>
      <c r="C122" s="6">
        <v>30000.0</v>
      </c>
      <c r="D122" s="15" t="str">
        <f>HYPERLINK("http://www.usrc.it/AppRendiConta/det_99_20190205.pdf","Determina 99 del 05/02/2019")</f>
        <v>Determina 99 del 05/02/2019</v>
      </c>
      <c r="E122" s="12" t="s">
        <v>259</v>
      </c>
      <c r="F122" s="17" t="s">
        <v>12</v>
      </c>
      <c r="G122" s="18" t="s">
        <v>260</v>
      </c>
      <c r="H122" s="10"/>
      <c r="I122" s="10"/>
      <c r="J122" s="10"/>
      <c r="K122" s="10"/>
    </row>
    <row r="123" ht="30.0" customHeight="1">
      <c r="A123" s="12" t="s">
        <v>261</v>
      </c>
      <c r="B123" s="35" t="s">
        <v>262</v>
      </c>
      <c r="C123" s="6">
        <v>24112.72</v>
      </c>
      <c r="D123" s="15" t="str">
        <f>HYPERLINK("http://www.usrc.it/AppRendiConta/det_103_20190207.pdf","Determina 103 del 07/02/2019")</f>
        <v>Determina 103 del 07/02/2019</v>
      </c>
      <c r="E123" s="12" t="s">
        <v>263</v>
      </c>
      <c r="F123" s="17" t="s">
        <v>12</v>
      </c>
      <c r="G123" s="21" t="s">
        <v>17</v>
      </c>
      <c r="H123" s="10"/>
      <c r="I123" s="10"/>
      <c r="J123" s="10"/>
      <c r="K123" s="10"/>
    </row>
    <row r="124" ht="30.0" customHeight="1">
      <c r="A124" s="12" t="s">
        <v>264</v>
      </c>
      <c r="B124" s="35" t="s">
        <v>265</v>
      </c>
      <c r="C124" s="6">
        <v>21590.9</v>
      </c>
      <c r="D124" s="20" t="str">
        <f>HYPERLINK("http://www.usrc.it/AppRendiConta/det_106_20190207.pdf","Determina 106 del 07/02/2019")</f>
        <v>Determina 106 del 07/02/2019</v>
      </c>
      <c r="E124" s="12" t="s">
        <v>266</v>
      </c>
      <c r="F124" s="17" t="s">
        <v>12</v>
      </c>
      <c r="G124" s="21" t="s">
        <v>25</v>
      </c>
      <c r="H124" s="10"/>
      <c r="I124" s="10"/>
      <c r="J124" s="10"/>
      <c r="K124" s="10"/>
    </row>
    <row r="125" ht="30.0" customHeight="1">
      <c r="A125" s="12" t="s">
        <v>78</v>
      </c>
      <c r="B125" s="37" t="s">
        <v>79</v>
      </c>
      <c r="C125" s="6">
        <v>814842.21</v>
      </c>
      <c r="D125" s="20" t="str">
        <f>HYPERLINK("http://www.usrc.it/AppRendiConta/det_108_20190208.pdf","Determina 108 del 08/02/2019")</f>
        <v>Determina 108 del 08/02/2019</v>
      </c>
      <c r="E125" s="12" t="s">
        <v>267</v>
      </c>
      <c r="F125" s="17" t="s">
        <v>12</v>
      </c>
      <c r="G125" s="21" t="s">
        <v>268</v>
      </c>
      <c r="H125" s="10"/>
      <c r="I125" s="10"/>
      <c r="J125" s="10"/>
      <c r="K125" s="10"/>
    </row>
    <row r="126" ht="30.0" customHeight="1">
      <c r="A126" s="12" t="s">
        <v>90</v>
      </c>
      <c r="B126" s="37" t="s">
        <v>91</v>
      </c>
      <c r="C126" s="6">
        <v>761.81</v>
      </c>
      <c r="D126" s="20" t="str">
        <f>HYPERLINK("http://www.usrc.it/AppRendiConta/det_110_20190211.pdf","Determina 110 del 11/02/2019")</f>
        <v>Determina 110 del 11/02/2019</v>
      </c>
      <c r="E126" s="12" t="s">
        <v>269</v>
      </c>
      <c r="F126" s="17" t="s">
        <v>12</v>
      </c>
      <c r="G126" s="21" t="s">
        <v>35</v>
      </c>
      <c r="H126" s="10"/>
      <c r="I126" s="10"/>
      <c r="J126" s="10"/>
      <c r="K126" s="10"/>
    </row>
    <row r="127" ht="30.0" customHeight="1">
      <c r="A127" s="12" t="s">
        <v>270</v>
      </c>
      <c r="B127" s="35" t="s">
        <v>271</v>
      </c>
      <c r="C127" s="6">
        <v>139198.09</v>
      </c>
      <c r="D127" s="20" t="str">
        <f>HYPERLINK("http://www.usrc.it/AppRendiConta/det_111_20190211.pdf","Determina 111 del 11/02/2019")</f>
        <v>Determina 111 del 11/02/2019</v>
      </c>
      <c r="E127" s="12" t="s">
        <v>272</v>
      </c>
      <c r="F127" s="25" t="s">
        <v>12</v>
      </c>
      <c r="G127" s="21" t="s">
        <v>25</v>
      </c>
      <c r="H127" s="10"/>
      <c r="I127" s="10"/>
      <c r="J127" s="10"/>
      <c r="K127" s="10"/>
    </row>
    <row r="128" ht="30.0" customHeight="1">
      <c r="A128" s="12" t="s">
        <v>217</v>
      </c>
      <c r="B128" s="35" t="s">
        <v>218</v>
      </c>
      <c r="C128" s="6">
        <v>952964.44</v>
      </c>
      <c r="D128" s="20" t="str">
        <f>HYPERLINK("http://www.usrc.it/AppRendiConta/det_113_20190212.pdf","Determina 113 del 12/02/2019")</f>
        <v>Determina 113 del 12/02/2019</v>
      </c>
      <c r="E128" s="12" t="s">
        <v>273</v>
      </c>
      <c r="F128" s="17" t="s">
        <v>12</v>
      </c>
      <c r="G128" s="21" t="s">
        <v>17</v>
      </c>
      <c r="H128" s="10"/>
      <c r="I128" s="10"/>
      <c r="J128" s="10"/>
      <c r="K128" s="10"/>
    </row>
    <row r="129" ht="30.0" customHeight="1">
      <c r="A129" s="12" t="s">
        <v>274</v>
      </c>
      <c r="B129" s="43" t="s">
        <v>275</v>
      </c>
      <c r="C129" s="6">
        <v>1377205.66</v>
      </c>
      <c r="D129" s="20" t="str">
        <f>HYPERLINK("http://www.usrc.it/AppRendiConta/det_114_20190212.pdf","Determina 114 del 12/02/2019")</f>
        <v>Determina 114 del 12/02/2019</v>
      </c>
      <c r="E129" s="12" t="s">
        <v>276</v>
      </c>
      <c r="F129" s="17" t="s">
        <v>12</v>
      </c>
      <c r="G129" s="21" t="s">
        <v>17</v>
      </c>
      <c r="H129" s="10"/>
      <c r="I129" s="10"/>
      <c r="J129" s="10"/>
      <c r="K129" s="10"/>
    </row>
    <row r="130" ht="30.0" customHeight="1">
      <c r="A130" s="12" t="s">
        <v>264</v>
      </c>
      <c r="B130" s="35" t="s">
        <v>265</v>
      </c>
      <c r="C130" s="6">
        <v>17075.61</v>
      </c>
      <c r="D130" s="20" t="str">
        <f>HYPERLINK("http://www.usrc.it/AppRendiConta/det_117_20190212.pdf","Determina 117 del 12/02/2019")</f>
        <v>Determina 117 del 12/02/2019</v>
      </c>
      <c r="E130" s="12" t="s">
        <v>277</v>
      </c>
      <c r="F130" s="17" t="s">
        <v>12</v>
      </c>
      <c r="G130" s="21" t="s">
        <v>278</v>
      </c>
      <c r="H130" s="10"/>
      <c r="I130" s="10"/>
      <c r="J130" s="10"/>
      <c r="K130" s="10"/>
    </row>
    <row r="131" ht="30.0" customHeight="1">
      <c r="A131" s="12" t="s">
        <v>279</v>
      </c>
      <c r="B131" s="35" t="s">
        <v>280</v>
      </c>
      <c r="C131" s="6">
        <v>645891.21</v>
      </c>
      <c r="D131" s="20" t="str">
        <f>HYPERLINK("http://www.usrc.it/AppRendiConta/det_119_20190213.pdf","Determina 119 del 13/02/2019")</f>
        <v>Determina 119 del 13/02/2019</v>
      </c>
      <c r="E131" s="12" t="s">
        <v>281</v>
      </c>
      <c r="F131" s="17" t="s">
        <v>12</v>
      </c>
      <c r="G131" s="21" t="s">
        <v>17</v>
      </c>
      <c r="H131" s="10"/>
      <c r="I131" s="10"/>
      <c r="J131" s="10"/>
      <c r="K131" s="10"/>
    </row>
    <row r="132" ht="30.0" customHeight="1">
      <c r="A132" s="12" t="s">
        <v>282</v>
      </c>
      <c r="B132" s="43" t="s">
        <v>283</v>
      </c>
      <c r="C132" s="6">
        <v>146445.93</v>
      </c>
      <c r="D132" s="20" t="str">
        <f>HYPERLINK("http://www.usrc.it/AppRendiConta/det_120_20190213.pdf","Determina 120 del 13/02/2019")</f>
        <v>Determina 120 del 13/02/2019</v>
      </c>
      <c r="E132" s="12" t="s">
        <v>284</v>
      </c>
      <c r="F132" s="17" t="s">
        <v>12</v>
      </c>
      <c r="G132" s="21" t="s">
        <v>17</v>
      </c>
      <c r="H132" s="10"/>
      <c r="I132" s="10"/>
      <c r="J132" s="10"/>
      <c r="K132" s="10"/>
    </row>
    <row r="133" ht="30.0" customHeight="1">
      <c r="A133" s="12" t="s">
        <v>285</v>
      </c>
      <c r="B133" s="38" t="s">
        <v>30</v>
      </c>
      <c r="C133" s="6">
        <v>5542581.63</v>
      </c>
      <c r="D133" s="20" t="str">
        <f>HYPERLINK("http://www.usrc.it/AppRendiConta/det_121_20190214.pdf","Determina 121 del 14/02/2019")</f>
        <v>Determina 121 del 14/02/2019</v>
      </c>
      <c r="E133" s="12" t="s">
        <v>286</v>
      </c>
      <c r="F133" s="25" t="s">
        <v>12</v>
      </c>
      <c r="G133" s="21" t="s">
        <v>13</v>
      </c>
      <c r="H133" s="10"/>
      <c r="I133" s="10"/>
      <c r="J133" s="10"/>
      <c r="K133" s="10"/>
    </row>
    <row r="134" ht="30.0" customHeight="1">
      <c r="A134" s="12" t="s">
        <v>287</v>
      </c>
      <c r="B134" s="35" t="s">
        <v>288</v>
      </c>
      <c r="C134" s="6">
        <v>2623548.73</v>
      </c>
      <c r="D134" s="20" t="str">
        <f>HYPERLINK("http://www.usrc.it/AppRendiConta/det_122_20190214.pdf","Determina 122 del 14/02/2019")</f>
        <v>Determina 122 del 14/02/2019</v>
      </c>
      <c r="E134" s="12" t="s">
        <v>289</v>
      </c>
      <c r="F134" s="25" t="s">
        <v>12</v>
      </c>
      <c r="G134" s="21" t="s">
        <v>13</v>
      </c>
      <c r="H134" s="10"/>
      <c r="I134" s="10"/>
      <c r="J134" s="10"/>
      <c r="K134" s="10"/>
    </row>
    <row r="135" ht="30.0" customHeight="1">
      <c r="A135" s="12" t="s">
        <v>175</v>
      </c>
      <c r="B135" s="35" t="s">
        <v>176</v>
      </c>
      <c r="C135" s="6">
        <v>1791966.24</v>
      </c>
      <c r="D135" s="20" t="str">
        <f t="shared" ref="D135:D136" si="8">HYPERLINK("http://www.usrc.it/AppRendiConta/det_123_20190214.pdf","Determina 123 del 14/02/2019")</f>
        <v>Determina 123 del 14/02/2019</v>
      </c>
      <c r="E135" s="12" t="s">
        <v>290</v>
      </c>
      <c r="F135" s="25" t="s">
        <v>12</v>
      </c>
      <c r="G135" s="21" t="s">
        <v>13</v>
      </c>
      <c r="H135" s="10"/>
      <c r="I135" s="10"/>
      <c r="J135" s="10"/>
      <c r="K135" s="10"/>
    </row>
    <row r="136" ht="30.0" customHeight="1">
      <c r="A136" s="12" t="s">
        <v>175</v>
      </c>
      <c r="B136" s="35" t="s">
        <v>176</v>
      </c>
      <c r="C136" s="19">
        <v>3470571.63</v>
      </c>
      <c r="D136" s="20" t="str">
        <f t="shared" si="8"/>
        <v>Determina 123 del 14/02/2019</v>
      </c>
      <c r="E136" s="12" t="s">
        <v>290</v>
      </c>
      <c r="F136" s="25" t="s">
        <v>12</v>
      </c>
      <c r="G136" s="21" t="s">
        <v>291</v>
      </c>
      <c r="H136" s="10"/>
      <c r="I136" s="10"/>
      <c r="J136" s="10"/>
      <c r="K136" s="10"/>
    </row>
    <row r="137" ht="30.0" customHeight="1">
      <c r="A137" s="12" t="s">
        <v>238</v>
      </c>
      <c r="B137" s="35" t="s">
        <v>239</v>
      </c>
      <c r="C137" s="19">
        <v>2705540.62</v>
      </c>
      <c r="D137" s="20" t="str">
        <f>HYPERLINK("http://www.usrc.it/AppRendiConta/det_124_20190214.pdf","Determina 124 del 14/02/2019")</f>
        <v>Determina 124 del 14/02/2019</v>
      </c>
      <c r="E137" s="12" t="s">
        <v>292</v>
      </c>
      <c r="F137" s="25" t="s">
        <v>12</v>
      </c>
      <c r="G137" s="21" t="s">
        <v>291</v>
      </c>
      <c r="H137" s="10"/>
      <c r="I137" s="10"/>
      <c r="J137" s="10"/>
      <c r="K137" s="10"/>
    </row>
    <row r="138" ht="30.0" customHeight="1">
      <c r="A138" s="4" t="s">
        <v>250</v>
      </c>
      <c r="B138" s="35" t="s">
        <v>251</v>
      </c>
      <c r="C138" s="44">
        <v>71594.82</v>
      </c>
      <c r="D138" s="7" t="str">
        <f>HYPERLINK("http://www.usrc.it/AppRendiConta/det_129_20190219.pdf","Determina 129 del 19/02/2019")</f>
        <v>Determina 129 del 19/02/2019</v>
      </c>
      <c r="E138" s="12" t="s">
        <v>293</v>
      </c>
      <c r="F138" s="17" t="s">
        <v>12</v>
      </c>
      <c r="G138" s="18" t="s">
        <v>81</v>
      </c>
      <c r="H138" s="10"/>
      <c r="I138" s="10"/>
      <c r="J138" s="10"/>
      <c r="K138" s="10"/>
    </row>
    <row r="139" ht="30.0" customHeight="1">
      <c r="A139" s="4" t="s">
        <v>294</v>
      </c>
      <c r="B139" s="35" t="s">
        <v>295</v>
      </c>
      <c r="C139" s="44">
        <v>347573.14</v>
      </c>
      <c r="D139" s="7" t="str">
        <f>HYPERLINK(" http://www.usrc.it/AppRendiConta/det_132_20190221.pdf","Determina 132 del 21/02/2019")</f>
        <v>Determina 132 del 21/02/2019</v>
      </c>
      <c r="E139" s="12" t="s">
        <v>296</v>
      </c>
      <c r="F139" s="17" t="s">
        <v>12</v>
      </c>
      <c r="G139" s="9" t="s">
        <v>25</v>
      </c>
      <c r="H139" s="10"/>
      <c r="I139" s="10"/>
      <c r="J139" s="10"/>
      <c r="K139" s="10"/>
    </row>
    <row r="140" ht="30.0" customHeight="1">
      <c r="A140" s="4" t="s">
        <v>270</v>
      </c>
      <c r="B140" s="35" t="s">
        <v>116</v>
      </c>
      <c r="C140" s="44">
        <v>75391.29</v>
      </c>
      <c r="D140" s="7" t="str">
        <f>HYPERLINK(" http://www.usrc.it/AppRendiConta/det_133_20190221.pdf","Determina 133 del 21/02/2019")</f>
        <v>Determina 133 del 21/02/2019</v>
      </c>
      <c r="E140" s="12" t="s">
        <v>297</v>
      </c>
      <c r="F140" s="5" t="s">
        <v>12</v>
      </c>
      <c r="G140" s="9" t="s">
        <v>25</v>
      </c>
      <c r="H140" s="10"/>
      <c r="I140" s="10"/>
      <c r="J140" s="10"/>
      <c r="K140" s="10"/>
    </row>
    <row r="141" ht="30.0" customHeight="1">
      <c r="A141" s="4" t="s">
        <v>298</v>
      </c>
      <c r="B141" s="35" t="s">
        <v>299</v>
      </c>
      <c r="C141" s="44">
        <v>229823.53</v>
      </c>
      <c r="D141" s="7" t="str">
        <f>HYPERLINK(" http://www.usrc.it/AppRendiConta/det_135_20190221.pdf","Determina 135 del 21/02/2019")</f>
        <v>Determina 135 del 21/02/2019</v>
      </c>
      <c r="E141" s="27" t="s">
        <v>300</v>
      </c>
      <c r="F141" s="5" t="s">
        <v>12</v>
      </c>
      <c r="G141" s="9" t="s">
        <v>25</v>
      </c>
      <c r="H141" s="10"/>
      <c r="I141" s="10"/>
      <c r="J141" s="10"/>
      <c r="K141" s="10"/>
    </row>
    <row r="142" ht="30.0" customHeight="1">
      <c r="A142" s="4" t="s">
        <v>32</v>
      </c>
      <c r="B142" s="35" t="s">
        <v>33</v>
      </c>
      <c r="C142" s="44">
        <v>5192.62</v>
      </c>
      <c r="D142" s="7" t="str">
        <f>HYPERLINK(" http://www.usrc.it/AppRendiConta/det_138_20190221.pdf","Determina 138 del 21/02/2019")</f>
        <v>Determina 138 del 21/02/2019</v>
      </c>
      <c r="E142" s="27" t="s">
        <v>301</v>
      </c>
      <c r="F142" s="5" t="s">
        <v>12</v>
      </c>
      <c r="G142" s="9" t="s">
        <v>35</v>
      </c>
      <c r="H142" s="10"/>
      <c r="I142" s="10"/>
      <c r="J142" s="10"/>
      <c r="K142" s="10"/>
    </row>
    <row r="143" ht="30.0" customHeight="1">
      <c r="A143" s="4" t="s">
        <v>302</v>
      </c>
      <c r="B143" s="35" t="s">
        <v>303</v>
      </c>
      <c r="C143" s="44">
        <v>1053.13</v>
      </c>
      <c r="D143" s="7" t="str">
        <f t="shared" ref="D143:D144" si="9">HYPERLINK(" http://www.usrc.it/AppRendiConta/det_139_20190221.pdf","Determina 139 del 21/02/2019")</f>
        <v>Determina 139 del 21/02/2019</v>
      </c>
      <c r="E143" s="27" t="s">
        <v>304</v>
      </c>
      <c r="F143" s="5" t="s">
        <v>12</v>
      </c>
      <c r="G143" s="9" t="s">
        <v>21</v>
      </c>
      <c r="H143" s="10"/>
      <c r="I143" s="10"/>
      <c r="J143" s="10"/>
      <c r="K143" s="10"/>
    </row>
    <row r="144" ht="30.0" customHeight="1">
      <c r="A144" s="4" t="s">
        <v>302</v>
      </c>
      <c r="B144" s="35" t="s">
        <v>303</v>
      </c>
      <c r="C144" s="44">
        <v>1230.71</v>
      </c>
      <c r="D144" s="7" t="str">
        <f t="shared" si="9"/>
        <v>Determina 139 del 21/02/2019</v>
      </c>
      <c r="E144" s="27" t="s">
        <v>304</v>
      </c>
      <c r="F144" s="5" t="s">
        <v>12</v>
      </c>
      <c r="G144" s="9" t="s">
        <v>25</v>
      </c>
      <c r="H144" s="10"/>
      <c r="I144" s="10"/>
      <c r="J144" s="10"/>
      <c r="K144" s="10"/>
    </row>
    <row r="145" ht="30.0" customHeight="1">
      <c r="A145" s="4" t="s">
        <v>305</v>
      </c>
      <c r="B145" s="35" t="s">
        <v>306</v>
      </c>
      <c r="C145" s="44">
        <v>920.84</v>
      </c>
      <c r="D145" s="7" t="str">
        <f>HYPERLINK(" http://www.usrc.it/AppRendiConta/det_141_20190221.pdf","Determina 141 del 21/02/2019")</f>
        <v>Determina 141 del 21/02/2019</v>
      </c>
      <c r="E145" s="27" t="s">
        <v>307</v>
      </c>
      <c r="F145" s="5" t="s">
        <v>12</v>
      </c>
      <c r="G145" s="9" t="s">
        <v>21</v>
      </c>
      <c r="H145" s="10"/>
      <c r="I145" s="10"/>
      <c r="J145" s="10"/>
      <c r="K145" s="10"/>
    </row>
    <row r="146" ht="30.0" customHeight="1">
      <c r="A146" s="4" t="s">
        <v>9</v>
      </c>
      <c r="B146" s="35" t="s">
        <v>10</v>
      </c>
      <c r="C146" s="44">
        <v>127607.87</v>
      </c>
      <c r="D146" s="7" t="str">
        <f>HYPERLINK(" http://www.usrc.it/AppRendiConta/det_142_20190221.pdf","Determina 142 del 21/02/2019")</f>
        <v>Determina 142 del 21/02/2019</v>
      </c>
      <c r="E146" s="27" t="s">
        <v>308</v>
      </c>
      <c r="F146" s="5" t="s">
        <v>12</v>
      </c>
      <c r="G146" s="9" t="s">
        <v>21</v>
      </c>
      <c r="H146" s="10"/>
      <c r="I146" s="10"/>
      <c r="J146" s="10"/>
      <c r="K146" s="10"/>
    </row>
    <row r="147" ht="30.0" customHeight="1">
      <c r="A147" s="4" t="s">
        <v>169</v>
      </c>
      <c r="B147" s="35" t="s">
        <v>170</v>
      </c>
      <c r="C147" s="45">
        <v>1712035.47</v>
      </c>
      <c r="D147" s="7" t="str">
        <f>HYPERLINK(" http://www.usrc.it/AppRendiConta/det_143_20190222.pdf","Determina 143 del 22/02/2019")</f>
        <v>Determina 143 del 22/02/2019</v>
      </c>
      <c r="E147" s="27" t="s">
        <v>309</v>
      </c>
      <c r="F147" s="5" t="s">
        <v>12</v>
      </c>
      <c r="G147" s="9" t="s">
        <v>291</v>
      </c>
      <c r="H147" s="10"/>
      <c r="I147" s="10"/>
      <c r="J147" s="10"/>
      <c r="K147" s="10"/>
    </row>
    <row r="148" ht="30.0" customHeight="1">
      <c r="A148" s="4" t="s">
        <v>48</v>
      </c>
      <c r="B148" s="35" t="s">
        <v>49</v>
      </c>
      <c r="C148" s="45">
        <v>3210356.82</v>
      </c>
      <c r="D148" s="7" t="str">
        <f>HYPERLINK(" http://www.usrc.it/AppRendiConta/det_144_20190222.pdf","Determina 144 del 22/02/2019")</f>
        <v>Determina 144 del 22/02/2019</v>
      </c>
      <c r="E148" s="27" t="s">
        <v>310</v>
      </c>
      <c r="F148" s="5" t="s">
        <v>12</v>
      </c>
      <c r="G148" s="9" t="s">
        <v>291</v>
      </c>
      <c r="H148" s="10"/>
      <c r="I148" s="10"/>
      <c r="J148" s="10"/>
      <c r="K148" s="10"/>
    </row>
    <row r="149" ht="30.0" customHeight="1">
      <c r="A149" s="4" t="s">
        <v>270</v>
      </c>
      <c r="B149" s="35" t="s">
        <v>116</v>
      </c>
      <c r="C149" s="44">
        <v>111438.8</v>
      </c>
      <c r="D149" s="7" t="str">
        <f>HYPERLINK(" http://www.usrc.it/AppRendiConta/det_147_20190222.pdf","Determina 147 del 22/02/2019")</f>
        <v>Determina 147 del 22/02/2019</v>
      </c>
      <c r="E149" s="27" t="s">
        <v>311</v>
      </c>
      <c r="F149" s="5" t="s">
        <v>12</v>
      </c>
      <c r="G149" s="9" t="s">
        <v>25</v>
      </c>
      <c r="H149" s="10"/>
      <c r="I149" s="10"/>
      <c r="J149" s="10"/>
      <c r="K149" s="10"/>
    </row>
    <row r="150" ht="30.0" customHeight="1">
      <c r="A150" s="4" t="s">
        <v>90</v>
      </c>
      <c r="B150" s="35" t="s">
        <v>91</v>
      </c>
      <c r="C150" s="44">
        <v>1376.32</v>
      </c>
      <c r="D150" s="7" t="str">
        <f>HYPERLINK(" http://www.usrc.it/AppRendiConta/det_148_20190222.pdf","Determina 148 del 22/02/2019")</f>
        <v>Determina 148 del 22/02/2019</v>
      </c>
      <c r="E150" s="27" t="s">
        <v>312</v>
      </c>
      <c r="F150" s="5" t="s">
        <v>12</v>
      </c>
      <c r="G150" s="9" t="s">
        <v>81</v>
      </c>
      <c r="H150" s="10"/>
      <c r="I150" s="10"/>
      <c r="J150" s="10"/>
      <c r="K150" s="10"/>
    </row>
    <row r="151" ht="30.0" customHeight="1">
      <c r="A151" s="4" t="s">
        <v>313</v>
      </c>
      <c r="B151" s="35" t="s">
        <v>314</v>
      </c>
      <c r="C151" s="45">
        <v>58874.67</v>
      </c>
      <c r="D151" s="7" t="str">
        <f>HYPERLINK("http://www.usrc.it/AppRendiConta/det_154_20190228.pdf","Determina 154 del 28/02/2019")</f>
        <v>Determina 154 del 28/02/2019</v>
      </c>
      <c r="E151" s="27" t="s">
        <v>315</v>
      </c>
      <c r="F151" s="5" t="s">
        <v>12</v>
      </c>
      <c r="G151" s="21" t="s">
        <v>17</v>
      </c>
      <c r="H151" s="10"/>
      <c r="I151" s="10"/>
      <c r="J151" s="10"/>
      <c r="K151" s="10"/>
    </row>
    <row r="152" ht="30.0" customHeight="1">
      <c r="A152" s="4" t="s">
        <v>316</v>
      </c>
      <c r="B152" s="35" t="s">
        <v>317</v>
      </c>
      <c r="C152" s="45">
        <v>2294176.18</v>
      </c>
      <c r="D152" s="7" t="str">
        <f>HYPERLINK("http://www.usrc.it/AppRendiConta/det_162_20190304.pdf","Determina 162 del 04/03/2019")</f>
        <v>Determina 162 del 04/03/2019</v>
      </c>
      <c r="E152" s="27" t="s">
        <v>318</v>
      </c>
      <c r="F152" s="5" t="s">
        <v>12</v>
      </c>
      <c r="G152" s="21" t="s">
        <v>17</v>
      </c>
      <c r="H152" s="10"/>
      <c r="I152" s="10"/>
      <c r="J152" s="10"/>
      <c r="K152" s="10"/>
    </row>
    <row r="153" ht="30.0" customHeight="1">
      <c r="A153" s="4" t="s">
        <v>319</v>
      </c>
      <c r="B153" s="35" t="s">
        <v>320</v>
      </c>
      <c r="C153" s="45">
        <v>788367.64</v>
      </c>
      <c r="D153" s="7" t="str">
        <f>HYPERLINK(" http://www.usrc.it/AppRendiConta/det_165_20190307.pdf","Determina 165 del 07/03/2019")</f>
        <v>Determina 165 del 07/03/2019</v>
      </c>
      <c r="E153" s="27" t="s">
        <v>321</v>
      </c>
      <c r="F153" s="5" t="s">
        <v>12</v>
      </c>
      <c r="G153" s="9" t="s">
        <v>17</v>
      </c>
      <c r="H153" s="10"/>
      <c r="I153" s="10"/>
      <c r="J153" s="10"/>
      <c r="K153" s="10"/>
    </row>
    <row r="154" ht="30.0" customHeight="1">
      <c r="A154" s="4" t="s">
        <v>322</v>
      </c>
      <c r="B154" s="35" t="s">
        <v>323</v>
      </c>
      <c r="C154" s="45">
        <v>10000.0</v>
      </c>
      <c r="D154" s="7" t="str">
        <f>HYPERLINK(" http://www.usrc.it/AppRendiConta/det_166_20190307.pdf","Determina 166 del 07/03/2019")</f>
        <v>Determina 166 del 07/03/2019</v>
      </c>
      <c r="E154" s="27" t="s">
        <v>324</v>
      </c>
      <c r="F154" s="5" t="s">
        <v>12</v>
      </c>
      <c r="G154" s="21" t="s">
        <v>17</v>
      </c>
      <c r="H154" s="10"/>
      <c r="I154" s="10"/>
      <c r="J154" s="10"/>
      <c r="K154" s="10"/>
    </row>
    <row r="155" ht="30.0" customHeight="1">
      <c r="A155" s="4" t="s">
        <v>325</v>
      </c>
      <c r="B155" s="35" t="s">
        <v>326</v>
      </c>
      <c r="C155" s="45">
        <v>73622.23</v>
      </c>
      <c r="D155" s="7" t="str">
        <f>HYPERLINK(" http://www.usrc.it/AppRendiConta/det_167_20190307.pdf","Determina 167 del 07/03/2019")</f>
        <v>Determina 167 del 07/03/2019</v>
      </c>
      <c r="E155" s="27" t="s">
        <v>327</v>
      </c>
      <c r="F155" s="5" t="s">
        <v>12</v>
      </c>
      <c r="G155" s="21" t="s">
        <v>17</v>
      </c>
      <c r="H155" s="10"/>
      <c r="I155" s="10"/>
      <c r="J155" s="10"/>
      <c r="K155" s="10"/>
    </row>
    <row r="156" ht="30.0" customHeight="1">
      <c r="A156" s="4" t="s">
        <v>211</v>
      </c>
      <c r="B156" s="35" t="s">
        <v>212</v>
      </c>
      <c r="C156" s="45">
        <v>2853303.26</v>
      </c>
      <c r="D156" s="7" t="str">
        <f>HYPERLINK(" http://www.usrc.it/AppRendiConta/det_169_20190307.pdf","Determina 169 del 07/03/2019")</f>
        <v>Determina 169 del 07/03/2019</v>
      </c>
      <c r="E156" s="27" t="s">
        <v>328</v>
      </c>
      <c r="F156" s="5" t="s">
        <v>12</v>
      </c>
      <c r="G156" s="21" t="s">
        <v>17</v>
      </c>
      <c r="H156" s="10"/>
      <c r="I156" s="10"/>
      <c r="J156" s="10"/>
      <c r="K156" s="10"/>
    </row>
    <row r="157" ht="30.0" customHeight="1">
      <c r="A157" s="4" t="s">
        <v>18</v>
      </c>
      <c r="B157" s="35" t="s">
        <v>19</v>
      </c>
      <c r="C157" s="45">
        <v>2147.2</v>
      </c>
      <c r="D157" s="7" t="str">
        <f t="shared" ref="D157:D168" si="10">HYPERLINK("http://www.usrc.it/AppRendiConta/det_172_20190308.pdf","Determina 172 del 08/03/2019")</f>
        <v>Determina 172 del 08/03/2019</v>
      </c>
      <c r="E157" s="27" t="s">
        <v>329</v>
      </c>
      <c r="F157" s="5" t="s">
        <v>12</v>
      </c>
      <c r="G157" s="21" t="s">
        <v>227</v>
      </c>
      <c r="H157" s="10"/>
      <c r="I157" s="10"/>
      <c r="J157" s="10"/>
      <c r="K157" s="10"/>
    </row>
    <row r="158" ht="30.0" customHeight="1">
      <c r="A158" s="4" t="s">
        <v>69</v>
      </c>
      <c r="B158" s="35" t="s">
        <v>70</v>
      </c>
      <c r="C158" s="45">
        <v>10985.6</v>
      </c>
      <c r="D158" s="7" t="str">
        <f t="shared" si="10"/>
        <v>Determina 172 del 08/03/2019</v>
      </c>
      <c r="E158" s="27" t="s">
        <v>330</v>
      </c>
      <c r="F158" s="5" t="s">
        <v>12</v>
      </c>
      <c r="G158" s="21" t="s">
        <v>227</v>
      </c>
      <c r="H158" s="10"/>
      <c r="I158" s="10"/>
      <c r="J158" s="10"/>
      <c r="K158" s="10"/>
    </row>
    <row r="159" ht="30.0" customHeight="1">
      <c r="A159" s="4" t="s">
        <v>98</v>
      </c>
      <c r="B159" s="35" t="s">
        <v>99</v>
      </c>
      <c r="C159" s="45">
        <v>4880.0</v>
      </c>
      <c r="D159" s="7" t="str">
        <f t="shared" si="10"/>
        <v>Determina 172 del 08/03/2019</v>
      </c>
      <c r="E159" s="27" t="s">
        <v>331</v>
      </c>
      <c r="F159" s="5" t="s">
        <v>12</v>
      </c>
      <c r="G159" s="21" t="s">
        <v>227</v>
      </c>
      <c r="H159" s="10"/>
      <c r="I159" s="10"/>
      <c r="J159" s="10"/>
      <c r="K159" s="10"/>
    </row>
    <row r="160" ht="30.0" customHeight="1">
      <c r="A160" s="4" t="s">
        <v>158</v>
      </c>
      <c r="B160" s="35" t="s">
        <v>159</v>
      </c>
      <c r="C160" s="45">
        <v>20183.68</v>
      </c>
      <c r="D160" s="7" t="str">
        <f t="shared" si="10"/>
        <v>Determina 172 del 08/03/2019</v>
      </c>
      <c r="E160" s="27" t="s">
        <v>332</v>
      </c>
      <c r="F160" s="5" t="s">
        <v>12</v>
      </c>
      <c r="G160" s="21" t="s">
        <v>227</v>
      </c>
      <c r="H160" s="10"/>
      <c r="I160" s="10"/>
      <c r="J160" s="10"/>
      <c r="K160" s="10"/>
    </row>
    <row r="161" ht="30.0" customHeight="1">
      <c r="A161" s="4" t="s">
        <v>78</v>
      </c>
      <c r="B161" s="35" t="s">
        <v>79</v>
      </c>
      <c r="C161" s="45">
        <v>1000.0</v>
      </c>
      <c r="D161" s="7" t="str">
        <f t="shared" si="10"/>
        <v>Determina 172 del 08/03/2019</v>
      </c>
      <c r="E161" s="27" t="s">
        <v>333</v>
      </c>
      <c r="F161" s="5" t="s">
        <v>12</v>
      </c>
      <c r="G161" s="21" t="s">
        <v>227</v>
      </c>
      <c r="H161" s="10"/>
      <c r="I161" s="10"/>
      <c r="J161" s="10"/>
      <c r="K161" s="10"/>
    </row>
    <row r="162" ht="30.0" customHeight="1">
      <c r="A162" s="4" t="s">
        <v>167</v>
      </c>
      <c r="B162" s="35" t="s">
        <v>168</v>
      </c>
      <c r="C162" s="45">
        <v>178685.32</v>
      </c>
      <c r="D162" s="7" t="str">
        <f t="shared" si="10"/>
        <v>Determina 172 del 08/03/2019</v>
      </c>
      <c r="E162" s="27" t="s">
        <v>334</v>
      </c>
      <c r="F162" s="5" t="s">
        <v>12</v>
      </c>
      <c r="G162" s="21" t="s">
        <v>227</v>
      </c>
      <c r="H162" s="10"/>
      <c r="I162" s="10"/>
      <c r="J162" s="10"/>
      <c r="K162" s="10"/>
    </row>
    <row r="163" ht="30.0" customHeight="1">
      <c r="A163" s="4" t="s">
        <v>220</v>
      </c>
      <c r="B163" s="35" t="s">
        <v>221</v>
      </c>
      <c r="C163" s="45">
        <v>9035.0</v>
      </c>
      <c r="D163" s="7" t="str">
        <f t="shared" si="10"/>
        <v>Determina 172 del 08/03/2019</v>
      </c>
      <c r="E163" s="27" t="s">
        <v>335</v>
      </c>
      <c r="F163" s="5" t="s">
        <v>12</v>
      </c>
      <c r="G163" s="21" t="s">
        <v>227</v>
      </c>
      <c r="H163" s="10"/>
      <c r="I163" s="10"/>
      <c r="J163" s="10"/>
      <c r="K163" s="10"/>
    </row>
    <row r="164" ht="30.0" customHeight="1">
      <c r="A164" s="4" t="s">
        <v>228</v>
      </c>
      <c r="B164" s="35" t="s">
        <v>229</v>
      </c>
      <c r="C164" s="45">
        <v>610.0</v>
      </c>
      <c r="D164" s="7" t="str">
        <f t="shared" si="10"/>
        <v>Determina 172 del 08/03/2019</v>
      </c>
      <c r="E164" s="27" t="s">
        <v>332</v>
      </c>
      <c r="F164" s="5" t="s">
        <v>12</v>
      </c>
      <c r="G164" s="21" t="s">
        <v>227</v>
      </c>
      <c r="H164" s="10"/>
      <c r="I164" s="10"/>
      <c r="J164" s="10"/>
      <c r="K164" s="10"/>
    </row>
    <row r="165" ht="30.0" customHeight="1">
      <c r="A165" s="4" t="s">
        <v>75</v>
      </c>
      <c r="B165" s="35" t="s">
        <v>76</v>
      </c>
      <c r="C165" s="45">
        <v>11870.6</v>
      </c>
      <c r="D165" s="7" t="str">
        <f t="shared" si="10"/>
        <v>Determina 172 del 08/03/2019</v>
      </c>
      <c r="E165" s="27" t="s">
        <v>336</v>
      </c>
      <c r="F165" s="5" t="s">
        <v>12</v>
      </c>
      <c r="G165" s="21" t="s">
        <v>227</v>
      </c>
      <c r="H165" s="10"/>
      <c r="I165" s="10"/>
      <c r="J165" s="10"/>
      <c r="K165" s="10"/>
    </row>
    <row r="166" ht="30.0" customHeight="1">
      <c r="A166" s="4" t="s">
        <v>238</v>
      </c>
      <c r="B166" s="35" t="s">
        <v>239</v>
      </c>
      <c r="C166" s="45">
        <v>6847.0</v>
      </c>
      <c r="D166" s="7" t="str">
        <f t="shared" si="10"/>
        <v>Determina 172 del 08/03/2019</v>
      </c>
      <c r="E166" s="27" t="s">
        <v>226</v>
      </c>
      <c r="F166" s="5" t="s">
        <v>12</v>
      </c>
      <c r="G166" s="21" t="s">
        <v>227</v>
      </c>
      <c r="H166" s="10"/>
      <c r="I166" s="10"/>
      <c r="J166" s="10"/>
      <c r="K166" s="10"/>
    </row>
    <row r="167" ht="30.0" customHeight="1">
      <c r="A167" s="4" t="s">
        <v>29</v>
      </c>
      <c r="B167" s="35" t="s">
        <v>30</v>
      </c>
      <c r="C167" s="45">
        <v>2905.8</v>
      </c>
      <c r="D167" s="7" t="str">
        <f t="shared" si="10"/>
        <v>Determina 172 del 08/03/2019</v>
      </c>
      <c r="E167" s="27" t="s">
        <v>337</v>
      </c>
      <c r="F167" s="5" t="s">
        <v>12</v>
      </c>
      <c r="G167" s="21" t="s">
        <v>227</v>
      </c>
      <c r="H167" s="10"/>
      <c r="I167" s="10"/>
      <c r="J167" s="10"/>
      <c r="K167" s="10"/>
    </row>
    <row r="168" ht="30.0" customHeight="1">
      <c r="A168" s="4" t="s">
        <v>72</v>
      </c>
      <c r="B168" s="35" t="s">
        <v>73</v>
      </c>
      <c r="C168" s="45">
        <v>183.0</v>
      </c>
      <c r="D168" s="7" t="str">
        <f t="shared" si="10"/>
        <v>Determina 172 del 08/03/2019</v>
      </c>
      <c r="E168" s="27" t="s">
        <v>332</v>
      </c>
      <c r="F168" s="5" t="s">
        <v>12</v>
      </c>
      <c r="G168" s="21" t="s">
        <v>227</v>
      </c>
      <c r="H168" s="10"/>
      <c r="I168" s="10"/>
      <c r="J168" s="10"/>
      <c r="K168" s="10"/>
    </row>
    <row r="169" ht="30.0" customHeight="1">
      <c r="A169" s="4" t="s">
        <v>72</v>
      </c>
      <c r="B169" s="35" t="s">
        <v>73</v>
      </c>
      <c r="C169" s="44">
        <v>32943.66</v>
      </c>
      <c r="D169" s="7" t="str">
        <f>HYPERLINK("http://www.usrc.it/AppRendiConta/det_174_20190311.pdf","Determina 174 del 11/03/2019")</f>
        <v>Determina 174 del 11/03/2019</v>
      </c>
      <c r="E169" s="27" t="s">
        <v>338</v>
      </c>
      <c r="F169" s="5" t="s">
        <v>12</v>
      </c>
      <c r="G169" s="9" t="s">
        <v>81</v>
      </c>
      <c r="H169" s="10"/>
      <c r="I169" s="10"/>
      <c r="J169" s="10"/>
      <c r="K169" s="10"/>
    </row>
    <row r="170" ht="30.0" customHeight="1">
      <c r="A170" s="4" t="s">
        <v>75</v>
      </c>
      <c r="B170" s="35" t="s">
        <v>76</v>
      </c>
      <c r="C170" s="44">
        <v>250297.3</v>
      </c>
      <c r="D170" s="7" t="str">
        <f>HYPERLINK("http://www.usrc.it/AppRendiConta/det_175_20190311.pdf","Determina 175 del 11/03/2019")</f>
        <v>Determina 175 del 11/03/2019</v>
      </c>
      <c r="E170" s="27" t="s">
        <v>339</v>
      </c>
      <c r="F170" s="5" t="s">
        <v>12</v>
      </c>
      <c r="G170" s="9" t="s">
        <v>101</v>
      </c>
      <c r="H170" s="10"/>
      <c r="I170" s="10"/>
      <c r="J170" s="10"/>
      <c r="K170" s="10"/>
    </row>
    <row r="171" ht="30.0" customHeight="1">
      <c r="A171" s="4" t="s">
        <v>9</v>
      </c>
      <c r="B171" s="35" t="s">
        <v>10</v>
      </c>
      <c r="C171" s="44">
        <v>25329.1</v>
      </c>
      <c r="D171" s="7" t="str">
        <f>HYPERLINK("http://www.usrc.it/AppRendiConta/det_178_20190311.pdf","Determina 178 del 11/03/2019")</f>
        <v>Determina 178 del 11/03/2019</v>
      </c>
      <c r="E171" s="27" t="s">
        <v>340</v>
      </c>
      <c r="F171" s="5" t="s">
        <v>12</v>
      </c>
      <c r="G171" s="9" t="s">
        <v>101</v>
      </c>
      <c r="H171" s="10"/>
      <c r="I171" s="10"/>
      <c r="J171" s="10"/>
      <c r="K171" s="10"/>
    </row>
    <row r="172" ht="30.0" customHeight="1">
      <c r="A172" s="4" t="s">
        <v>341</v>
      </c>
      <c r="B172" s="35" t="s">
        <v>342</v>
      </c>
      <c r="C172" s="44">
        <v>224693.06</v>
      </c>
      <c r="D172" s="7" t="str">
        <f>HYPERLINK("http://www.usrc.it/AppRendiConta/det_179_20190313.pdf","Determina 179 del 13/03/2019")</f>
        <v>Determina 179 del 13/03/2019</v>
      </c>
      <c r="E172" s="27" t="s">
        <v>343</v>
      </c>
      <c r="F172" s="5" t="s">
        <v>12</v>
      </c>
      <c r="G172" s="9" t="s">
        <v>344</v>
      </c>
      <c r="H172" s="10"/>
      <c r="I172" s="10"/>
      <c r="J172" s="10"/>
      <c r="K172" s="10"/>
    </row>
    <row r="173" ht="30.0" customHeight="1">
      <c r="A173" s="4" t="s">
        <v>345</v>
      </c>
      <c r="B173" s="35" t="s">
        <v>346</v>
      </c>
      <c r="C173" s="44">
        <v>1268.8</v>
      </c>
      <c r="D173" s="7" t="str">
        <f>HYPERLINK("http://www.usrc.it/AppRendiConta/det_181_20190314.pdf","Determina 181 del 14/03/2019")</f>
        <v>Determina 181 del 14/03/2019</v>
      </c>
      <c r="E173" s="27" t="s">
        <v>347</v>
      </c>
      <c r="F173" s="5" t="s">
        <v>12</v>
      </c>
      <c r="G173" s="9" t="s">
        <v>101</v>
      </c>
      <c r="H173" s="10"/>
      <c r="I173" s="10"/>
      <c r="J173" s="10"/>
      <c r="K173" s="10"/>
    </row>
    <row r="174" ht="30.0" customHeight="1">
      <c r="A174" s="4" t="s">
        <v>90</v>
      </c>
      <c r="B174" s="35" t="s">
        <v>91</v>
      </c>
      <c r="C174" s="44">
        <v>94482.54</v>
      </c>
      <c r="D174" s="7" t="str">
        <f>HYPERLINK("http://www.usrc.it/AppRendiConta/det_183_20190314.pdf","Determina 183 del 14/03/2019")</f>
        <v>Determina 183 del 14/03/2019</v>
      </c>
      <c r="E174" s="27" t="s">
        <v>348</v>
      </c>
      <c r="F174" s="5" t="s">
        <v>12</v>
      </c>
      <c r="G174" s="9" t="s">
        <v>101</v>
      </c>
      <c r="H174" s="10"/>
      <c r="I174" s="10"/>
      <c r="J174" s="10"/>
      <c r="K174" s="10"/>
    </row>
    <row r="175" ht="30.0" customHeight="1">
      <c r="A175" s="4" t="s">
        <v>86</v>
      </c>
      <c r="B175" s="35" t="s">
        <v>87</v>
      </c>
      <c r="C175" s="44">
        <v>154.99</v>
      </c>
      <c r="D175" s="7" t="str">
        <f>HYPERLINK("http://www.usrc.it/AppRendiConta/det_185_20190314.pdf","Determina 185 del 14/03/2019")</f>
        <v>Determina 185 del 14/03/2019</v>
      </c>
      <c r="E175" s="27" t="s">
        <v>349</v>
      </c>
      <c r="F175" s="5" t="s">
        <v>12</v>
      </c>
      <c r="G175" s="9" t="s">
        <v>81</v>
      </c>
      <c r="H175" s="10"/>
      <c r="I175" s="10"/>
      <c r="J175" s="10"/>
      <c r="K175" s="10"/>
    </row>
    <row r="176" ht="30.0" customHeight="1">
      <c r="A176" s="4" t="s">
        <v>175</v>
      </c>
      <c r="B176" s="35" t="s">
        <v>176</v>
      </c>
      <c r="C176" s="44">
        <v>198540.1</v>
      </c>
      <c r="D176" s="7" t="str">
        <f>HYPERLINK("http://www.usrc.it/AppRendiConta/det_186_20190314.pdf","Determina 186 del 14/03/2019")</f>
        <v>Determina 186 del 14/03/2019</v>
      </c>
      <c r="E176" s="27" t="s">
        <v>350</v>
      </c>
      <c r="F176" s="5" t="s">
        <v>12</v>
      </c>
      <c r="G176" s="9" t="s">
        <v>101</v>
      </c>
      <c r="H176" s="10"/>
      <c r="I176" s="10"/>
      <c r="J176" s="10"/>
      <c r="K176" s="10"/>
    </row>
    <row r="177" ht="30.0" customHeight="1">
      <c r="A177" s="4" t="s">
        <v>78</v>
      </c>
      <c r="B177" s="35" t="s">
        <v>79</v>
      </c>
      <c r="C177" s="44">
        <v>3861238.75</v>
      </c>
      <c r="D177" s="7" t="str">
        <f>HYPERLINK("http://www.usrc.it/AppRendiConta/det_187_20190315.pdf","Determina 187 del 15/03/2019")</f>
        <v>Determina 187 del 15/03/2019</v>
      </c>
      <c r="E177" s="27" t="s">
        <v>351</v>
      </c>
      <c r="F177" s="5" t="s">
        <v>12</v>
      </c>
      <c r="G177" s="9" t="s">
        <v>291</v>
      </c>
      <c r="H177" s="10"/>
      <c r="I177" s="10"/>
      <c r="J177" s="10"/>
      <c r="K177" s="10"/>
    </row>
    <row r="178" ht="30.0" customHeight="1">
      <c r="A178" s="4" t="s">
        <v>98</v>
      </c>
      <c r="B178" s="35" t="s">
        <v>99</v>
      </c>
      <c r="C178" s="44">
        <v>3052234.28</v>
      </c>
      <c r="D178" s="7" t="str">
        <f>HYPERLINK("http://www.usrc.it/AppRendiConta/det_188_20190315.pdf","Determina 188 del 15/03/2019")</f>
        <v>Determina 188 del 15/03/2019</v>
      </c>
      <c r="E178" s="27" t="s">
        <v>352</v>
      </c>
      <c r="F178" s="5" t="s">
        <v>12</v>
      </c>
      <c r="G178" s="9" t="s">
        <v>291</v>
      </c>
      <c r="H178" s="10"/>
      <c r="I178" s="10"/>
      <c r="J178" s="10"/>
      <c r="K178" s="10"/>
    </row>
    <row r="179" ht="30.0" customHeight="1">
      <c r="A179" s="4" t="s">
        <v>18</v>
      </c>
      <c r="B179" s="35" t="s">
        <v>19</v>
      </c>
      <c r="C179" s="44">
        <v>2945391.03</v>
      </c>
      <c r="D179" s="7" t="str">
        <f>HYPERLINK("http://www.usrc.it/AppRendiConta/det_189_20190315.pdf","Determina 189 del 15/03/2019")</f>
        <v>Determina 189 del 15/03/2019</v>
      </c>
      <c r="E179" s="27" t="s">
        <v>353</v>
      </c>
      <c r="F179" s="5" t="s">
        <v>12</v>
      </c>
      <c r="G179" s="9" t="s">
        <v>291</v>
      </c>
      <c r="H179" s="10"/>
      <c r="I179" s="10"/>
      <c r="J179" s="10"/>
      <c r="K179" s="10"/>
    </row>
    <row r="180" ht="30.0" customHeight="1">
      <c r="A180" s="4" t="s">
        <v>354</v>
      </c>
      <c r="B180" s="35" t="s">
        <v>355</v>
      </c>
      <c r="C180" s="45">
        <v>58892.58</v>
      </c>
      <c r="D180" s="7" t="str">
        <f>HYPERLINK("http://www.usrc.it/AppRendiConta/det_191_20190320.pdf","Determina 191 del 20/03/2019")</f>
        <v>Determina 191 del 20/03/2019</v>
      </c>
      <c r="E180" s="27" t="s">
        <v>356</v>
      </c>
      <c r="F180" s="5" t="s">
        <v>12</v>
      </c>
      <c r="G180" s="9" t="s">
        <v>357</v>
      </c>
      <c r="H180" s="10"/>
      <c r="I180" s="10"/>
      <c r="J180" s="10"/>
      <c r="K180" s="10"/>
    </row>
    <row r="181" ht="30.0" customHeight="1">
      <c r="A181" s="4" t="s">
        <v>105</v>
      </c>
      <c r="B181" s="35" t="s">
        <v>106</v>
      </c>
      <c r="C181" s="45">
        <v>249346.26</v>
      </c>
      <c r="D181" s="7" t="str">
        <f>HYPERLINK("http://www.usrc.it/AppRendiConta/det_192_20190320.pdf","Determina 192 del 20/03/2019")</f>
        <v>Determina 192 del 20/03/2019</v>
      </c>
      <c r="E181" s="27" t="s">
        <v>107</v>
      </c>
      <c r="F181" s="5" t="s">
        <v>12</v>
      </c>
      <c r="G181" s="9" t="s">
        <v>357</v>
      </c>
      <c r="H181" s="10"/>
      <c r="I181" s="10"/>
      <c r="J181" s="10"/>
      <c r="K181" s="10"/>
    </row>
    <row r="182" ht="30.0" customHeight="1">
      <c r="A182" s="4" t="s">
        <v>130</v>
      </c>
      <c r="B182" s="35" t="s">
        <v>131</v>
      </c>
      <c r="C182" s="45">
        <v>1461005.59</v>
      </c>
      <c r="D182" s="7" t="str">
        <f>HYPERLINK("http://www.usrc.it/AppRendiConta/det_193_20190320.pdf","Determina 193 del 20/03/2019")</f>
        <v>Determina 193 del 20/03/2019</v>
      </c>
      <c r="E182" s="27" t="s">
        <v>358</v>
      </c>
      <c r="F182" s="5" t="s">
        <v>12</v>
      </c>
      <c r="G182" s="9" t="s">
        <v>291</v>
      </c>
      <c r="H182" s="10"/>
      <c r="I182" s="10"/>
      <c r="J182" s="10"/>
      <c r="K182" s="10"/>
    </row>
    <row r="183" ht="30.0" customHeight="1">
      <c r="A183" s="4" t="s">
        <v>294</v>
      </c>
      <c r="B183" s="35" t="s">
        <v>295</v>
      </c>
      <c r="C183" s="44">
        <v>10000.0</v>
      </c>
      <c r="D183" s="7" t="str">
        <f>HYPERLINK("http://www.usrc.it/AppRendiConta/det_199_20190325.pdf","Determina 199 del 25/03/2019")</f>
        <v>Determina 199 del 25/03/2019</v>
      </c>
      <c r="E183" s="27" t="s">
        <v>359</v>
      </c>
      <c r="F183" s="5" t="s">
        <v>12</v>
      </c>
      <c r="G183" s="9" t="s">
        <v>101</v>
      </c>
      <c r="H183" s="10"/>
      <c r="I183" s="10"/>
      <c r="J183" s="10"/>
      <c r="K183" s="10"/>
    </row>
    <row r="184" ht="30.0" customHeight="1">
      <c r="A184" s="4" t="s">
        <v>36</v>
      </c>
      <c r="B184" s="35" t="s">
        <v>37</v>
      </c>
      <c r="C184" s="44">
        <v>4367.62</v>
      </c>
      <c r="D184" s="7" t="str">
        <f>HYPERLINK(" http://www.usrc.it/AppRendiConta/det_200_20190325.pdf","Determina 200 del 25/03/2019")</f>
        <v>Determina 200 del 25/03/2019</v>
      </c>
      <c r="E184" s="27" t="s">
        <v>360</v>
      </c>
      <c r="F184" s="5" t="s">
        <v>12</v>
      </c>
      <c r="G184" s="9" t="s">
        <v>101</v>
      </c>
      <c r="H184" s="10"/>
      <c r="I184" s="10"/>
      <c r="J184" s="10"/>
      <c r="K184" s="10"/>
    </row>
    <row r="185" ht="30.0" customHeight="1">
      <c r="A185" s="4" t="s">
        <v>294</v>
      </c>
      <c r="B185" s="35" t="s">
        <v>295</v>
      </c>
      <c r="C185" s="44">
        <v>30960.0</v>
      </c>
      <c r="D185" s="7" t="str">
        <f>HYPERLINK(" http://www.usrc.it/AppRendiConta/det_203_20190326.pdf","Determina 203 del 26/03/2019")</f>
        <v>Determina 203 del 26/03/2019</v>
      </c>
      <c r="E185" s="27" t="s">
        <v>361</v>
      </c>
      <c r="F185" s="5" t="s">
        <v>12</v>
      </c>
      <c r="G185" s="9" t="s">
        <v>191</v>
      </c>
      <c r="H185" s="10"/>
      <c r="I185" s="10"/>
      <c r="J185" s="10"/>
      <c r="K185" s="10"/>
    </row>
    <row r="186" ht="30.0" customHeight="1">
      <c r="A186" s="4" t="s">
        <v>181</v>
      </c>
      <c r="B186" s="35" t="s">
        <v>182</v>
      </c>
      <c r="C186" s="44">
        <v>28972.0</v>
      </c>
      <c r="D186" s="7" t="str">
        <f>HYPERLINK(" http://www.usrc.it/AppRendiConta/det_204_20190326.pdf","Determina 204 del 26/03/2019")</f>
        <v>Determina 204 del 26/03/2019</v>
      </c>
      <c r="E186" s="27" t="s">
        <v>362</v>
      </c>
      <c r="F186" s="5" t="s">
        <v>12</v>
      </c>
      <c r="G186" s="9" t="s">
        <v>191</v>
      </c>
      <c r="H186" s="10"/>
      <c r="I186" s="10"/>
      <c r="J186" s="10"/>
      <c r="K186" s="10"/>
    </row>
    <row r="187" ht="30.0" customHeight="1">
      <c r="A187" s="4" t="s">
        <v>39</v>
      </c>
      <c r="B187" s="35" t="s">
        <v>40</v>
      </c>
      <c r="C187" s="44">
        <v>235392.76</v>
      </c>
      <c r="D187" s="7" t="str">
        <f>HYPERLINK(" http://www.usrc.it/AppRendiConta/det_205_20190326.pdf","Determina 205 del 26/03/2019")</f>
        <v>Determina 205 del 26/03/2019</v>
      </c>
      <c r="E187" s="27" t="s">
        <v>363</v>
      </c>
      <c r="F187" s="5" t="s">
        <v>12</v>
      </c>
      <c r="G187" s="9" t="s">
        <v>101</v>
      </c>
      <c r="H187" s="10"/>
      <c r="I187" s="10"/>
      <c r="J187" s="10"/>
      <c r="K187" s="10"/>
    </row>
    <row r="188" ht="30.0" customHeight="1">
      <c r="A188" s="4" t="s">
        <v>285</v>
      </c>
      <c r="B188" s="35" t="s">
        <v>30</v>
      </c>
      <c r="C188" s="44">
        <v>4253.99</v>
      </c>
      <c r="D188" s="7" t="str">
        <f>HYPERLINK(" http://www.usrc.it/AppRendiConta/det_206_20190326.pdf","Determina 206 del 26/03/2019")</f>
        <v>Determina 206 del 26/03/2019</v>
      </c>
      <c r="E188" s="27" t="s">
        <v>364</v>
      </c>
      <c r="F188" s="5" t="s">
        <v>12</v>
      </c>
      <c r="G188" s="9" t="s">
        <v>365</v>
      </c>
      <c r="H188" s="10"/>
      <c r="I188" s="10"/>
      <c r="J188" s="10"/>
      <c r="K188" s="10"/>
    </row>
    <row r="189" ht="30.0" customHeight="1">
      <c r="A189" s="4" t="s">
        <v>90</v>
      </c>
      <c r="B189" s="35" t="s">
        <v>91</v>
      </c>
      <c r="C189" s="44">
        <v>95628.14</v>
      </c>
      <c r="D189" s="7" t="str">
        <f>HYPERLINK(" http://www.usrc.it/AppRendiConta/det_207_20190326.pdf","Determina 207 del 26/03/2019")</f>
        <v>Determina 207 del 26/03/2019</v>
      </c>
      <c r="E189" s="27" t="s">
        <v>366</v>
      </c>
      <c r="F189" s="5" t="s">
        <v>12</v>
      </c>
      <c r="G189" s="9" t="s">
        <v>367</v>
      </c>
      <c r="H189" s="10"/>
      <c r="I189" s="10"/>
      <c r="J189" s="10"/>
      <c r="K189" s="10"/>
    </row>
    <row r="190" ht="30.0" customHeight="1">
      <c r="A190" s="4" t="s">
        <v>164</v>
      </c>
      <c r="B190" s="35" t="s">
        <v>165</v>
      </c>
      <c r="C190" s="45">
        <v>86650.59</v>
      </c>
      <c r="D190" s="7" t="str">
        <f>HYPERLINK("http://www.usrc.it/AppRendiConta/det_209_20190327.pdf","Determina 209 del 27/03/2019")</f>
        <v>Determina 209 del 27/03/2019</v>
      </c>
      <c r="E190" s="27" t="s">
        <v>368</v>
      </c>
      <c r="F190" s="5" t="s">
        <v>12</v>
      </c>
      <c r="G190" s="9" t="s">
        <v>291</v>
      </c>
      <c r="H190" s="10"/>
      <c r="I190" s="10"/>
      <c r="J190" s="10"/>
      <c r="K190" s="10"/>
    </row>
    <row r="191" ht="30.0" customHeight="1">
      <c r="A191" s="4" t="s">
        <v>228</v>
      </c>
      <c r="B191" s="35" t="s">
        <v>229</v>
      </c>
      <c r="C191" s="45">
        <v>2005484.04</v>
      </c>
      <c r="D191" s="7" t="str">
        <f>HYPERLINK("http://www.usrc.it/AppRendiConta/det_214_20190329.pdf","Determina 214 del 29/03/2019")</f>
        <v>Determina 214 del 29/03/2019</v>
      </c>
      <c r="E191" s="27" t="s">
        <v>369</v>
      </c>
      <c r="F191" s="5" t="s">
        <v>12</v>
      </c>
      <c r="G191" s="9" t="s">
        <v>291</v>
      </c>
      <c r="H191" s="10"/>
      <c r="I191" s="10"/>
      <c r="J191" s="10"/>
      <c r="K191" s="10"/>
    </row>
    <row r="192" ht="30.0" customHeight="1">
      <c r="A192" s="4" t="s">
        <v>29</v>
      </c>
      <c r="B192" s="35" t="s">
        <v>30</v>
      </c>
      <c r="C192" s="44">
        <v>42151.6</v>
      </c>
      <c r="D192" s="7" t="str">
        <f t="shared" ref="D192:D193" si="11">HYPERLINK("http://www.usrc.it/AppRendiConta/det_215_20190329.pdf","Determina 215 del 29/03/2019")</f>
        <v>Determina 215 del 29/03/2019</v>
      </c>
      <c r="E192" s="27" t="s">
        <v>370</v>
      </c>
      <c r="F192" s="5" t="s">
        <v>12</v>
      </c>
      <c r="G192" s="9" t="s">
        <v>21</v>
      </c>
      <c r="H192" s="10"/>
      <c r="I192" s="10"/>
      <c r="J192" s="10"/>
      <c r="K192" s="10"/>
    </row>
    <row r="193" ht="30.0" customHeight="1">
      <c r="A193" s="4" t="s">
        <v>29</v>
      </c>
      <c r="B193" s="35" t="s">
        <v>30</v>
      </c>
      <c r="C193" s="44">
        <v>92488.66</v>
      </c>
      <c r="D193" s="7" t="str">
        <f t="shared" si="11"/>
        <v>Determina 215 del 29/03/2019</v>
      </c>
      <c r="E193" s="27" t="s">
        <v>370</v>
      </c>
      <c r="F193" s="5" t="s">
        <v>12</v>
      </c>
      <c r="G193" s="9" t="s">
        <v>25</v>
      </c>
      <c r="H193" s="10"/>
      <c r="I193" s="10"/>
      <c r="J193" s="10"/>
      <c r="K193" s="10"/>
    </row>
    <row r="194" ht="30.0" customHeight="1">
      <c r="A194" s="4" t="s">
        <v>371</v>
      </c>
      <c r="B194" s="35" t="s">
        <v>372</v>
      </c>
      <c r="C194" s="44">
        <v>46900.0</v>
      </c>
      <c r="D194" s="7" t="str">
        <f t="shared" ref="D194:D195" si="12">HYPERLINK("http://www.usrc.it/AppRendiConta/det_218_20190402.pdf","Determina 218 del 02/04/2019")</f>
        <v>Determina 218 del 02/04/2019</v>
      </c>
      <c r="E194" s="27" t="s">
        <v>373</v>
      </c>
      <c r="F194" s="5" t="s">
        <v>12</v>
      </c>
      <c r="G194" s="9" t="s">
        <v>365</v>
      </c>
      <c r="H194" s="10"/>
      <c r="I194" s="10"/>
      <c r="J194" s="10"/>
      <c r="K194" s="10"/>
    </row>
    <row r="195" ht="30.0" customHeight="1">
      <c r="A195" s="4" t="s">
        <v>371</v>
      </c>
      <c r="B195" s="35" t="s">
        <v>372</v>
      </c>
      <c r="C195" s="44">
        <v>14000.0</v>
      </c>
      <c r="D195" s="7" t="str">
        <f t="shared" si="12"/>
        <v>Determina 218 del 02/04/2019</v>
      </c>
      <c r="E195" s="27" t="s">
        <v>373</v>
      </c>
      <c r="F195" s="5" t="s">
        <v>12</v>
      </c>
      <c r="G195" s="9" t="s">
        <v>374</v>
      </c>
      <c r="H195" s="10"/>
      <c r="I195" s="10"/>
      <c r="J195" s="10"/>
      <c r="K195" s="10"/>
    </row>
    <row r="196" ht="30.0" customHeight="1">
      <c r="A196" s="4" t="s">
        <v>42</v>
      </c>
      <c r="B196" s="35" t="s">
        <v>43</v>
      </c>
      <c r="C196" s="44">
        <v>16235.76</v>
      </c>
      <c r="D196" s="7" t="str">
        <f>HYPERLINK("http://www.usrc.it/AppRendiConta/det_219_20190402.pdf","Determina 219 del 02/04/2019")</f>
        <v>Determina 219 del 02/04/2019</v>
      </c>
      <c r="E196" s="27" t="s">
        <v>375</v>
      </c>
      <c r="F196" s="5" t="s">
        <v>12</v>
      </c>
      <c r="G196" s="9" t="s">
        <v>191</v>
      </c>
      <c r="H196" s="10"/>
      <c r="I196" s="10"/>
      <c r="J196" s="10"/>
      <c r="K196" s="10"/>
    </row>
    <row r="197" ht="30.0" customHeight="1">
      <c r="A197" s="4" t="s">
        <v>69</v>
      </c>
      <c r="B197" s="35" t="s">
        <v>70</v>
      </c>
      <c r="C197" s="44">
        <v>247389.56</v>
      </c>
      <c r="D197" s="7" t="str">
        <f>HYPERLINK("http://www.usrc.it/AppRendiConta/det_220_20190405.pdf","Determina 220 del 05/04/2019")</f>
        <v>Determina 220 del 05/04/2019</v>
      </c>
      <c r="E197" s="27" t="s">
        <v>376</v>
      </c>
      <c r="F197" s="5" t="s">
        <v>12</v>
      </c>
      <c r="G197" s="9" t="s">
        <v>81</v>
      </c>
      <c r="H197" s="10"/>
      <c r="I197" s="10"/>
      <c r="J197" s="10"/>
      <c r="K197" s="10"/>
    </row>
    <row r="198" ht="30.0" customHeight="1">
      <c r="A198" s="4" t="s">
        <v>39</v>
      </c>
      <c r="B198" s="35" t="s">
        <v>40</v>
      </c>
      <c r="C198" s="44">
        <v>44974.8</v>
      </c>
      <c r="D198" s="7" t="str">
        <f>HYPERLINK("http://www.usrc.it/AppRendiConta/det_221_20190405.pdf","Determina 221 del 05/04/2019")</f>
        <v>Determina 221 del 05/04/2019</v>
      </c>
      <c r="E198" s="27" t="s">
        <v>377</v>
      </c>
      <c r="F198" s="5" t="s">
        <v>12</v>
      </c>
      <c r="G198" s="9" t="s">
        <v>101</v>
      </c>
      <c r="H198" s="10"/>
      <c r="I198" s="10"/>
      <c r="J198" s="10"/>
      <c r="K198" s="10"/>
    </row>
    <row r="199" ht="30.0" customHeight="1">
      <c r="A199" s="4" t="s">
        <v>298</v>
      </c>
      <c r="B199" s="35" t="s">
        <v>299</v>
      </c>
      <c r="C199" s="44">
        <v>474179.89</v>
      </c>
      <c r="D199" s="7" t="str">
        <f>HYPERLINK("http://www.usrc.it/AppRendiConta/det_224_20190405.pdf","Determina 224 del 05/04/2019")</f>
        <v>Determina 224 del 05/04/2019</v>
      </c>
      <c r="E199" s="27" t="s">
        <v>378</v>
      </c>
      <c r="F199" s="5" t="s">
        <v>12</v>
      </c>
      <c r="G199" s="9" t="s">
        <v>25</v>
      </c>
      <c r="H199" s="10"/>
      <c r="I199" s="10"/>
      <c r="J199" s="10"/>
      <c r="K199" s="10"/>
    </row>
    <row r="200" ht="30.0" customHeight="1">
      <c r="A200" s="4" t="s">
        <v>379</v>
      </c>
      <c r="B200" s="35" t="s">
        <v>380</v>
      </c>
      <c r="C200" s="45">
        <v>150536.72</v>
      </c>
      <c r="D200" s="7" t="str">
        <f>HYPERLINK("http://www.usrc.it/AppRendiConta/det_225_20190405.pdf","Determina 225 del 05/04/2019")</f>
        <v>Determina 225 del 05/04/2019</v>
      </c>
      <c r="E200" s="27" t="s">
        <v>381</v>
      </c>
      <c r="F200" s="5" t="s">
        <v>12</v>
      </c>
      <c r="G200" s="9" t="s">
        <v>357</v>
      </c>
      <c r="H200" s="10"/>
      <c r="I200" s="10"/>
      <c r="J200" s="10"/>
      <c r="K200" s="10"/>
    </row>
    <row r="201" ht="30.0" customHeight="1">
      <c r="A201" s="4" t="s">
        <v>382</v>
      </c>
      <c r="B201" s="35" t="s">
        <v>383</v>
      </c>
      <c r="C201" s="45">
        <v>70768.51</v>
      </c>
      <c r="D201" s="7" t="str">
        <f>HYPERLINK("http://www.usrc.it/AppRendiConta/det_226_20190405.pdf","Determina 226 del 05/04/2019")</f>
        <v>Determina 226 del 05/04/2019</v>
      </c>
      <c r="E201" s="27" t="s">
        <v>384</v>
      </c>
      <c r="F201" s="5" t="s">
        <v>12</v>
      </c>
      <c r="G201" s="9" t="s">
        <v>357</v>
      </c>
      <c r="H201" s="10"/>
      <c r="I201" s="10"/>
      <c r="J201" s="10"/>
      <c r="K201" s="10"/>
    </row>
    <row r="202" ht="30.0" customHeight="1">
      <c r="A202" s="4" t="s">
        <v>75</v>
      </c>
      <c r="B202" s="35" t="s">
        <v>76</v>
      </c>
      <c r="C202" s="45">
        <v>1345315.59</v>
      </c>
      <c r="D202" s="7" t="str">
        <f>HYPERLINK("http://www.usrc.it/AppRendiConta/det_229_20190409.pdf                                         ","Determina 229 del 09/04/2019")</f>
        <v>Determina 229 del 09/04/2019</v>
      </c>
      <c r="E202" s="27" t="s">
        <v>385</v>
      </c>
      <c r="F202" s="5" t="s">
        <v>12</v>
      </c>
      <c r="G202" s="9" t="s">
        <v>291</v>
      </c>
      <c r="H202" s="10"/>
      <c r="I202" s="10"/>
      <c r="J202" s="10"/>
      <c r="K202" s="10"/>
    </row>
    <row r="203" ht="30.0" customHeight="1">
      <c r="A203" s="46" t="s">
        <v>386</v>
      </c>
      <c r="B203" s="35" t="s">
        <v>387</v>
      </c>
      <c r="C203" s="45">
        <v>18214.15</v>
      </c>
      <c r="D203" s="7" t="str">
        <f>HYPERLINK("http://www.usrc.it/AppRendiConta/det_230_20190410.pdf                                       ","Determina 230 DEL 10/04/2019")</f>
        <v>Determina 230 DEL 10/04/2019</v>
      </c>
      <c r="E203" s="27" t="s">
        <v>388</v>
      </c>
      <c r="F203" s="5" t="s">
        <v>12</v>
      </c>
      <c r="G203" s="9" t="s">
        <v>357</v>
      </c>
      <c r="H203" s="10"/>
      <c r="I203" s="10"/>
      <c r="J203" s="10"/>
      <c r="K203" s="10"/>
    </row>
    <row r="204" ht="30.0" customHeight="1">
      <c r="A204" s="4" t="s">
        <v>211</v>
      </c>
      <c r="B204" s="35" t="s">
        <v>212</v>
      </c>
      <c r="C204" s="45">
        <v>69929.55</v>
      </c>
      <c r="D204" s="7" t="str">
        <f>HYPERLINK("http://www.usrc.it/AppRendiConta/det_231_20190411.pdf                                       ","Determina 231 DEL 11/04/2019")</f>
        <v>Determina 231 DEL 11/04/2019</v>
      </c>
      <c r="E204" s="27" t="s">
        <v>389</v>
      </c>
      <c r="F204" s="5" t="s">
        <v>12</v>
      </c>
      <c r="G204" s="9" t="s">
        <v>35</v>
      </c>
      <c r="H204" s="10"/>
      <c r="I204" s="10"/>
      <c r="J204" s="10"/>
      <c r="K204" s="10"/>
    </row>
    <row r="205" ht="30.0" customHeight="1">
      <c r="A205" s="4" t="s">
        <v>390</v>
      </c>
      <c r="B205" s="35" t="s">
        <v>391</v>
      </c>
      <c r="C205" s="44">
        <v>468194.04</v>
      </c>
      <c r="D205" s="7" t="str">
        <f>HYPERLINK("http://www.usrc.it/AppRendiConta/det_235_20190411.pdf                                       ","Determina 235 DEL 11/04/2019")</f>
        <v>Determina 235 DEL 11/04/2019</v>
      </c>
      <c r="E205" s="27" t="s">
        <v>392</v>
      </c>
      <c r="F205" s="5" t="s">
        <v>12</v>
      </c>
      <c r="G205" s="9" t="s">
        <v>357</v>
      </c>
      <c r="H205" s="10"/>
      <c r="I205" s="10"/>
      <c r="J205" s="10"/>
      <c r="K205" s="10"/>
    </row>
    <row r="206" ht="30.0" customHeight="1">
      <c r="A206" s="4" t="s">
        <v>39</v>
      </c>
      <c r="B206" s="35" t="s">
        <v>40</v>
      </c>
      <c r="C206" s="44">
        <v>35164.69</v>
      </c>
      <c r="D206" s="7" t="str">
        <f>HYPERLINK("http://www.usrc.it/AppRendiConta/det_237_20190411.pdf                                       ","Determina 237 DEL 11/04/2019")</f>
        <v>Determina 237 DEL 11/04/2019</v>
      </c>
      <c r="E206" s="27" t="s">
        <v>393</v>
      </c>
      <c r="F206" s="5" t="s">
        <v>12</v>
      </c>
      <c r="G206" s="9" t="s">
        <v>101</v>
      </c>
      <c r="H206" s="10"/>
      <c r="I206" s="10"/>
      <c r="J206" s="10"/>
      <c r="K206" s="10"/>
    </row>
    <row r="207" ht="30.0" customHeight="1">
      <c r="A207" s="4" t="s">
        <v>138</v>
      </c>
      <c r="B207" s="35" t="s">
        <v>139</v>
      </c>
      <c r="C207" s="44">
        <v>224412.03</v>
      </c>
      <c r="D207" s="7" t="str">
        <f>HYPERLINK("http://www.usrc.it/AppRendiConta/det_238_20190411.pdf                                       ","Determina 238 DEL 11/04/2019")</f>
        <v>Determina 238 DEL 11/04/2019</v>
      </c>
      <c r="E207" s="27" t="s">
        <v>394</v>
      </c>
      <c r="F207" s="5" t="s">
        <v>12</v>
      </c>
      <c r="G207" s="9" t="s">
        <v>101</v>
      </c>
      <c r="H207" s="10"/>
      <c r="I207" s="10"/>
      <c r="J207" s="10"/>
      <c r="K207" s="10"/>
    </row>
    <row r="208" ht="30.0" customHeight="1">
      <c r="A208" s="4" t="s">
        <v>39</v>
      </c>
      <c r="B208" s="35" t="s">
        <v>40</v>
      </c>
      <c r="C208" s="44">
        <v>27645.26</v>
      </c>
      <c r="D208" s="7" t="str">
        <f>HYPERLINK("http://www.usrc.it/AppRendiConta/det_239_20190411.pdf                                       ","Determina 239 DEL 11/04/2019")</f>
        <v>Determina 239 DEL 11/04/2019</v>
      </c>
      <c r="E208" s="27" t="s">
        <v>395</v>
      </c>
      <c r="F208" s="5" t="s">
        <v>12</v>
      </c>
      <c r="G208" s="9" t="s">
        <v>101</v>
      </c>
      <c r="H208" s="10"/>
      <c r="I208" s="10"/>
      <c r="J208" s="10"/>
      <c r="K208" s="10"/>
    </row>
    <row r="209" ht="30.0" customHeight="1">
      <c r="A209" s="4" t="s">
        <v>39</v>
      </c>
      <c r="B209" s="35" t="s">
        <v>40</v>
      </c>
      <c r="C209" s="44">
        <v>41651.45</v>
      </c>
      <c r="D209" s="7" t="str">
        <f>HYPERLINK("http://www.usrc.it/AppRendiConta/det_240_20190411.pdf                                       ","Determina 240 DEL 11/04/2019")</f>
        <v>Determina 240 DEL 11/04/2019</v>
      </c>
      <c r="E209" s="27" t="s">
        <v>396</v>
      </c>
      <c r="F209" s="5" t="s">
        <v>12</v>
      </c>
      <c r="G209" s="9" t="s">
        <v>101</v>
      </c>
      <c r="H209" s="10"/>
      <c r="I209" s="10"/>
      <c r="J209" s="10"/>
      <c r="K209" s="10"/>
    </row>
    <row r="210" ht="30.0" customHeight="1">
      <c r="A210" s="4" t="s">
        <v>102</v>
      </c>
      <c r="B210" s="35" t="s">
        <v>103</v>
      </c>
      <c r="C210" s="44">
        <v>29933.77</v>
      </c>
      <c r="D210" s="7" t="str">
        <f>HYPERLINK("http://www.usrc.it/AppRendiConta/det_241_20190411.pdf                                       ","Determina 241 DEL 11/04/2019")</f>
        <v>Determina 241 DEL 11/04/2019</v>
      </c>
      <c r="E210" s="27" t="s">
        <v>397</v>
      </c>
      <c r="F210" s="5" t="s">
        <v>12</v>
      </c>
      <c r="G210" s="9" t="s">
        <v>101</v>
      </c>
      <c r="H210" s="10"/>
      <c r="I210" s="10"/>
      <c r="J210" s="10"/>
      <c r="K210" s="10"/>
    </row>
    <row r="211" ht="30.0" customHeight="1">
      <c r="A211" s="4" t="s">
        <v>398</v>
      </c>
      <c r="B211" s="35" t="s">
        <v>399</v>
      </c>
      <c r="C211" s="44">
        <v>1997134.75</v>
      </c>
      <c r="D211" s="7" t="str">
        <f>HYPERLINK("http://www.usrc.it/AppRendiConta/det_243_20190411.pdf                                       ","Determina 243 DEL 11/04/2019")</f>
        <v>Determina 243 DEL 11/04/2019</v>
      </c>
      <c r="E211" s="27" t="s">
        <v>400</v>
      </c>
      <c r="F211" s="5" t="s">
        <v>12</v>
      </c>
      <c r="G211" s="9" t="s">
        <v>357</v>
      </c>
      <c r="H211" s="10"/>
      <c r="I211" s="10"/>
      <c r="J211" s="10"/>
      <c r="K211" s="10"/>
    </row>
    <row r="212" ht="30.0" customHeight="1">
      <c r="A212" s="4" t="s">
        <v>287</v>
      </c>
      <c r="B212" s="35" t="s">
        <v>288</v>
      </c>
      <c r="C212" s="44">
        <v>211380.25</v>
      </c>
      <c r="D212" s="7" t="str">
        <f>HYPERLINK("http://www.usrc.it/AppRendiConta/det_247_20190411.pdf                                       ","Determina 247 DEL 11/04/2019")</f>
        <v>Determina 247 DEL 11/04/2019</v>
      </c>
      <c r="E212" s="27" t="s">
        <v>401</v>
      </c>
      <c r="F212" s="9" t="s">
        <v>12</v>
      </c>
      <c r="G212" s="9" t="s">
        <v>21</v>
      </c>
      <c r="H212" s="10"/>
      <c r="I212" s="10"/>
      <c r="J212" s="10"/>
      <c r="K212" s="10"/>
    </row>
    <row r="213" ht="30.0" customHeight="1">
      <c r="A213" s="4" t="s">
        <v>305</v>
      </c>
      <c r="B213" s="35" t="s">
        <v>306</v>
      </c>
      <c r="C213" s="44">
        <v>2848687.48</v>
      </c>
      <c r="D213" s="7" t="str">
        <f>HYPERLINK("http://www.usrc.it/AppRendiConta/det_248_20190411.pdf","Determina 248 DEL 11/04/2019")</f>
        <v>Determina 248 DEL 11/04/2019</v>
      </c>
      <c r="E213" s="27" t="s">
        <v>402</v>
      </c>
      <c r="F213" s="5" t="s">
        <v>12</v>
      </c>
      <c r="G213" s="9" t="s">
        <v>291</v>
      </c>
      <c r="H213" s="10"/>
      <c r="I213" s="10"/>
      <c r="J213" s="10"/>
      <c r="K213" s="10"/>
    </row>
    <row r="214" ht="30.0" customHeight="1">
      <c r="A214" s="47" t="s">
        <v>403</v>
      </c>
      <c r="B214" s="38" t="s">
        <v>404</v>
      </c>
      <c r="C214" s="48">
        <v>874202.19</v>
      </c>
      <c r="D214" s="49" t="str">
        <f>HYPERLINK("http://www.usrc.it/AppRendiConta/det_253_20190415.pdf","Determina 253 del 15/04/2019")</f>
        <v>Determina 253 del 15/04/2019</v>
      </c>
      <c r="E214" s="12" t="s">
        <v>405</v>
      </c>
      <c r="F214" s="13" t="s">
        <v>12</v>
      </c>
      <c r="G214" s="18" t="s">
        <v>406</v>
      </c>
      <c r="H214" s="10"/>
      <c r="I214" s="10"/>
      <c r="J214" s="10"/>
      <c r="K214" s="10"/>
    </row>
    <row r="215" ht="30.0" customHeight="1">
      <c r="A215" s="47" t="s">
        <v>102</v>
      </c>
      <c r="B215" s="38" t="s">
        <v>103</v>
      </c>
      <c r="C215" s="48">
        <v>2004077.53</v>
      </c>
      <c r="D215" s="49" t="str">
        <f>HYPERLINK("http://www.usrc.it/AppRendiConta/det_254_20190416.pdf","Determina 254 del 16/04/2019")</f>
        <v>Determina 254 del 16/04/2019</v>
      </c>
      <c r="E215" s="12" t="s">
        <v>407</v>
      </c>
      <c r="F215" s="13" t="s">
        <v>12</v>
      </c>
      <c r="G215" s="18" t="s">
        <v>291</v>
      </c>
      <c r="H215" s="10"/>
      <c r="I215" s="10"/>
      <c r="J215" s="10"/>
      <c r="K215" s="10"/>
    </row>
    <row r="216" ht="30.0" customHeight="1">
      <c r="A216" s="47" t="s">
        <v>160</v>
      </c>
      <c r="B216" s="38" t="s">
        <v>161</v>
      </c>
      <c r="C216" s="48">
        <v>1092511.45</v>
      </c>
      <c r="D216" s="49" t="str">
        <f>HYPERLINK("http://www.usrc.it/AppRendiConta/det_255_20190416.pdf","Determina 255 del 16/04/2019")</f>
        <v>Determina 255 del 16/04/2019</v>
      </c>
      <c r="E216" s="12" t="s">
        <v>408</v>
      </c>
      <c r="F216" s="13" t="s">
        <v>12</v>
      </c>
      <c r="G216" s="18" t="s">
        <v>291</v>
      </c>
      <c r="H216" s="10"/>
      <c r="I216" s="10"/>
      <c r="J216" s="10"/>
      <c r="K216" s="10"/>
    </row>
    <row r="217" ht="30.0" customHeight="1">
      <c r="A217" s="47" t="s">
        <v>409</v>
      </c>
      <c r="B217" s="38" t="s">
        <v>410</v>
      </c>
      <c r="C217" s="48">
        <v>66034.11</v>
      </c>
      <c r="D217" s="49" t="str">
        <f>HYPERLINK("http://www.usrc.it/AppRendiConta/det_263_20190418.pdf","Determina 263 del 18/04/2019")</f>
        <v>Determina 263 del 18/04/2019</v>
      </c>
      <c r="E217" s="12" t="s">
        <v>411</v>
      </c>
      <c r="F217" s="13" t="s">
        <v>12</v>
      </c>
      <c r="G217" s="18" t="s">
        <v>357</v>
      </c>
      <c r="H217" s="10"/>
      <c r="I217" s="10"/>
      <c r="J217" s="10"/>
      <c r="K217" s="10"/>
    </row>
    <row r="218" ht="30.0" customHeight="1">
      <c r="A218" s="4" t="s">
        <v>167</v>
      </c>
      <c r="B218" s="35" t="s">
        <v>168</v>
      </c>
      <c r="C218" s="44">
        <v>9637.37</v>
      </c>
      <c r="D218" s="49" t="str">
        <f>HYPERLINK("http://www.usrc.it/AppRendiConta/det_265_20190502.pdf","Determina 265 del 02/05/2019")</f>
        <v>Determina 265 del 02/05/2019</v>
      </c>
      <c r="E218" s="27" t="s">
        <v>412</v>
      </c>
      <c r="F218" s="5" t="s">
        <v>12</v>
      </c>
      <c r="G218" s="9" t="s">
        <v>21</v>
      </c>
      <c r="H218" s="10"/>
      <c r="I218" s="10"/>
      <c r="J218" s="10"/>
      <c r="K218" s="10"/>
    </row>
    <row r="219" ht="30.0" customHeight="1">
      <c r="A219" s="4" t="s">
        <v>48</v>
      </c>
      <c r="B219" s="35" t="s">
        <v>49</v>
      </c>
      <c r="C219" s="44">
        <v>38458.94</v>
      </c>
      <c r="D219" s="49" t="str">
        <f>HYPERLINK("http://www.usrc.it/AppRendiConta/det_266_20190502.pdf","Determina 266 del 02/05/2019")</f>
        <v>Determina 266 del 02/05/2019</v>
      </c>
      <c r="E219" s="27" t="s">
        <v>413</v>
      </c>
      <c r="F219" s="5" t="s">
        <v>12</v>
      </c>
      <c r="G219" s="9" t="s">
        <v>25</v>
      </c>
      <c r="H219" s="10"/>
      <c r="I219" s="10"/>
      <c r="J219" s="10"/>
      <c r="K219" s="10"/>
    </row>
    <row r="220" ht="30.0" customHeight="1">
      <c r="A220" s="4" t="s">
        <v>39</v>
      </c>
      <c r="B220" s="35" t="s">
        <v>40</v>
      </c>
      <c r="C220" s="44">
        <v>42090.17</v>
      </c>
      <c r="D220" s="7" t="str">
        <f>HYPERLINK("http://www.usrc.it/AppRendiConta/det_267_20190502.pdf","Determina 267 del 02/05/2019")</f>
        <v>Determina 267 del 02/05/2019</v>
      </c>
      <c r="E220" s="27" t="s">
        <v>414</v>
      </c>
      <c r="F220" s="5" t="s">
        <v>12</v>
      </c>
      <c r="G220" s="9" t="s">
        <v>81</v>
      </c>
      <c r="H220" s="10"/>
      <c r="I220" s="10"/>
      <c r="J220" s="10"/>
      <c r="K220" s="10"/>
    </row>
    <row r="221" ht="30.0" customHeight="1">
      <c r="A221" s="4" t="s">
        <v>415</v>
      </c>
      <c r="B221" s="35" t="s">
        <v>180</v>
      </c>
      <c r="C221" s="44">
        <v>34577.67</v>
      </c>
      <c r="D221" s="7" t="str">
        <f>HYPERLINK("http://www.usrc.it/AppRendiConta/det_268_20190502.pdf","Determina 268 del 02/05/2019")</f>
        <v>Determina 268 del 02/05/2019</v>
      </c>
      <c r="E221" s="27" t="s">
        <v>416</v>
      </c>
      <c r="F221" s="5" t="s">
        <v>12</v>
      </c>
      <c r="G221" s="9" t="s">
        <v>21</v>
      </c>
      <c r="H221" s="10"/>
      <c r="I221" s="10"/>
      <c r="J221" s="10"/>
      <c r="K221" s="10"/>
    </row>
    <row r="222" ht="30.0" customHeight="1">
      <c r="A222" s="4" t="s">
        <v>151</v>
      </c>
      <c r="B222" s="35" t="s">
        <v>152</v>
      </c>
      <c r="C222" s="44">
        <v>172738.13</v>
      </c>
      <c r="D222" s="7" t="str">
        <f>HYPERLINK("http://www.usrc.it/AppRendiConta/det_269_20190502.pdf","Determina 269 del 02/05/2019")</f>
        <v>Determina 269 del 02/05/2019</v>
      </c>
      <c r="E222" s="27" t="s">
        <v>417</v>
      </c>
      <c r="F222" s="5" t="s">
        <v>12</v>
      </c>
      <c r="G222" s="9" t="s">
        <v>21</v>
      </c>
      <c r="H222" s="10"/>
      <c r="I222" s="10"/>
      <c r="J222" s="10"/>
      <c r="K222" s="10"/>
    </row>
    <row r="223" ht="30.0" customHeight="1">
      <c r="A223" s="4" t="s">
        <v>294</v>
      </c>
      <c r="B223" s="35" t="s">
        <v>295</v>
      </c>
      <c r="C223" s="44">
        <v>5111.06</v>
      </c>
      <c r="D223" s="7" t="str">
        <f>HYPERLINK("http://www.usrc.it/AppRendiConta/det_270_20190502.pdf","Determina 270 del 02/05/2019")</f>
        <v>Determina 270 del 02/05/2019</v>
      </c>
      <c r="E223" s="27" t="s">
        <v>418</v>
      </c>
      <c r="F223" s="5" t="s">
        <v>12</v>
      </c>
      <c r="G223" s="9" t="s">
        <v>21</v>
      </c>
      <c r="H223" s="10"/>
      <c r="I223" s="10"/>
      <c r="J223" s="10"/>
      <c r="K223" s="10"/>
    </row>
    <row r="224" ht="30.0" customHeight="1">
      <c r="A224" s="4" t="s">
        <v>201</v>
      </c>
      <c r="B224" s="35" t="s">
        <v>202</v>
      </c>
      <c r="C224" s="44">
        <v>35257.55</v>
      </c>
      <c r="D224" s="7" t="str">
        <f>HYPERLINK("http://www.usrc.it/AppRendiConta/det_271_20190502.pdf","Determina 271 del 02/05/2019")</f>
        <v>Determina 271 del 02/05/2019</v>
      </c>
      <c r="E224" s="27" t="s">
        <v>419</v>
      </c>
      <c r="F224" s="5" t="s">
        <v>12</v>
      </c>
      <c r="G224" s="9" t="s">
        <v>21</v>
      </c>
      <c r="H224" s="10"/>
      <c r="I224" s="10"/>
      <c r="J224" s="10"/>
      <c r="K224" s="10"/>
    </row>
    <row r="225" ht="30.0" customHeight="1">
      <c r="A225" s="4" t="s">
        <v>29</v>
      </c>
      <c r="B225" s="35" t="s">
        <v>30</v>
      </c>
      <c r="C225" s="44">
        <v>213965.2</v>
      </c>
      <c r="D225" s="7" t="str">
        <f>HYPERLINK("http://www.usrc.it/AppRendiConta/det_272_20190502.pdf","Determina 272 del 02/05/2019")</f>
        <v>Determina 272 del 02/05/2019</v>
      </c>
      <c r="E225" s="27" t="s">
        <v>420</v>
      </c>
      <c r="F225" s="5" t="s">
        <v>12</v>
      </c>
      <c r="G225" s="9" t="s">
        <v>21</v>
      </c>
      <c r="H225" s="10"/>
      <c r="I225" s="10"/>
      <c r="J225" s="10"/>
      <c r="K225" s="10"/>
    </row>
    <row r="226" ht="30.0" customHeight="1">
      <c r="A226" s="4" t="s">
        <v>18</v>
      </c>
      <c r="B226" s="35" t="s">
        <v>19</v>
      </c>
      <c r="C226" s="44">
        <v>4982.8</v>
      </c>
      <c r="D226" s="7" t="str">
        <f t="shared" ref="D226:D233" si="13">HYPERLINK("http://www.usrc.it/AppRendiConta/det_275_20190506.pdf","Determina 275 del 06/05/2019")</f>
        <v>Determina 275 del 06/05/2019</v>
      </c>
      <c r="E226" s="27" t="s">
        <v>421</v>
      </c>
      <c r="F226" s="5" t="s">
        <v>12</v>
      </c>
      <c r="G226" s="9" t="s">
        <v>227</v>
      </c>
      <c r="H226" s="10"/>
      <c r="I226" s="10"/>
      <c r="J226" s="10"/>
      <c r="K226" s="10"/>
    </row>
    <row r="227" ht="30.0" customHeight="1">
      <c r="A227" s="4" t="s">
        <v>201</v>
      </c>
      <c r="B227" s="35" t="s">
        <v>202</v>
      </c>
      <c r="C227" s="44">
        <v>75100.0</v>
      </c>
      <c r="D227" s="7" t="str">
        <f t="shared" si="13"/>
        <v>Determina 275 del 06/05/2019</v>
      </c>
      <c r="E227" s="27" t="s">
        <v>422</v>
      </c>
      <c r="F227" s="5" t="s">
        <v>12</v>
      </c>
      <c r="G227" s="9" t="s">
        <v>227</v>
      </c>
      <c r="H227" s="10"/>
      <c r="I227" s="10"/>
      <c r="J227" s="10"/>
      <c r="K227" s="10"/>
    </row>
    <row r="228" ht="30.0" customHeight="1">
      <c r="A228" s="4" t="s">
        <v>98</v>
      </c>
      <c r="B228" s="35" t="s">
        <v>99</v>
      </c>
      <c r="C228" s="44">
        <v>2893.55</v>
      </c>
      <c r="D228" s="7" t="str">
        <f t="shared" si="13"/>
        <v>Determina 275 del 06/05/2019</v>
      </c>
      <c r="E228" s="27" t="s">
        <v>423</v>
      </c>
      <c r="F228" s="5" t="s">
        <v>12</v>
      </c>
      <c r="G228" s="9" t="s">
        <v>227</v>
      </c>
      <c r="H228" s="10"/>
      <c r="I228" s="10"/>
      <c r="J228" s="10"/>
      <c r="K228" s="10"/>
    </row>
    <row r="229" ht="30.0" customHeight="1">
      <c r="A229" s="4" t="s">
        <v>158</v>
      </c>
      <c r="B229" s="35" t="s">
        <v>159</v>
      </c>
      <c r="C229" s="44">
        <v>4400.0</v>
      </c>
      <c r="D229" s="7" t="str">
        <f t="shared" si="13"/>
        <v>Determina 275 del 06/05/2019</v>
      </c>
      <c r="E229" s="27" t="s">
        <v>421</v>
      </c>
      <c r="F229" s="5" t="s">
        <v>12</v>
      </c>
      <c r="G229" s="9" t="s">
        <v>227</v>
      </c>
      <c r="H229" s="10"/>
      <c r="I229" s="10"/>
      <c r="J229" s="10"/>
      <c r="K229" s="10"/>
    </row>
    <row r="230" ht="30.0" customHeight="1">
      <c r="A230" s="4" t="s">
        <v>164</v>
      </c>
      <c r="B230" s="35" t="s">
        <v>165</v>
      </c>
      <c r="C230" s="44">
        <v>2550.0</v>
      </c>
      <c r="D230" s="7" t="str">
        <f t="shared" si="13"/>
        <v>Determina 275 del 06/05/2019</v>
      </c>
      <c r="E230" s="27" t="s">
        <v>424</v>
      </c>
      <c r="F230" s="5" t="s">
        <v>12</v>
      </c>
      <c r="G230" s="9" t="s">
        <v>227</v>
      </c>
      <c r="H230" s="10"/>
      <c r="I230" s="10"/>
      <c r="J230" s="10"/>
      <c r="K230" s="10"/>
    </row>
    <row r="231" ht="30.0" customHeight="1">
      <c r="A231" s="4" t="s">
        <v>169</v>
      </c>
      <c r="B231" s="35" t="s">
        <v>170</v>
      </c>
      <c r="C231" s="44">
        <v>20000.0</v>
      </c>
      <c r="D231" s="7" t="str">
        <f t="shared" si="13"/>
        <v>Determina 275 del 06/05/2019</v>
      </c>
      <c r="E231" s="27" t="s">
        <v>421</v>
      </c>
      <c r="F231" s="5" t="s">
        <v>12</v>
      </c>
      <c r="G231" s="9" t="s">
        <v>227</v>
      </c>
      <c r="H231" s="10"/>
      <c r="I231" s="10"/>
      <c r="J231" s="10"/>
      <c r="K231" s="10"/>
    </row>
    <row r="232" ht="30.0" customHeight="1">
      <c r="A232" s="4" t="s">
        <v>75</v>
      </c>
      <c r="B232" s="35" t="s">
        <v>76</v>
      </c>
      <c r="C232" s="44">
        <v>196041.7</v>
      </c>
      <c r="D232" s="7" t="str">
        <f t="shared" si="13"/>
        <v>Determina 275 del 06/05/2019</v>
      </c>
      <c r="E232" s="27" t="s">
        <v>425</v>
      </c>
      <c r="F232" s="5" t="s">
        <v>12</v>
      </c>
      <c r="G232" s="9" t="s">
        <v>227</v>
      </c>
      <c r="H232" s="10"/>
      <c r="I232" s="10"/>
      <c r="J232" s="10"/>
      <c r="K232" s="10"/>
    </row>
    <row r="233" ht="30.0" customHeight="1">
      <c r="A233" s="4" t="s">
        <v>238</v>
      </c>
      <c r="B233" s="35" t="s">
        <v>239</v>
      </c>
      <c r="C233" s="44">
        <v>36066.0</v>
      </c>
      <c r="D233" s="7" t="str">
        <f t="shared" si="13"/>
        <v>Determina 275 del 06/05/2019</v>
      </c>
      <c r="E233" s="27" t="s">
        <v>426</v>
      </c>
      <c r="F233" s="5" t="s">
        <v>12</v>
      </c>
      <c r="G233" s="9" t="s">
        <v>227</v>
      </c>
      <c r="H233" s="10"/>
      <c r="I233" s="10"/>
      <c r="J233" s="10"/>
      <c r="K233" s="10"/>
    </row>
    <row r="234" ht="30.0" customHeight="1">
      <c r="A234" s="4" t="s">
        <v>177</v>
      </c>
      <c r="B234" s="35" t="s">
        <v>178</v>
      </c>
      <c r="C234" s="44">
        <v>13800.0</v>
      </c>
      <c r="D234" s="7" t="str">
        <f>HYPERLINK("http://www.usrc.it/AppRendiConta/det_276_20190506.pdf","Determina 276 del 06/05/2019")</f>
        <v>Determina 276 del 06/05/2019</v>
      </c>
      <c r="E234" s="27" t="s">
        <v>427</v>
      </c>
      <c r="F234" s="5" t="s">
        <v>12</v>
      </c>
      <c r="G234" s="9" t="s">
        <v>227</v>
      </c>
      <c r="H234" s="10"/>
      <c r="I234" s="10"/>
      <c r="J234" s="10"/>
      <c r="K234" s="10"/>
    </row>
    <row r="235" ht="30.0" customHeight="1">
      <c r="A235" s="4" t="s">
        <v>90</v>
      </c>
      <c r="B235" s="35" t="s">
        <v>91</v>
      </c>
      <c r="C235" s="44">
        <v>6351586.97</v>
      </c>
      <c r="D235" s="7" t="str">
        <f>HYPERLINK("http://www.usrc.it/AppRendiConta/det_282_20190507.pdf","Determina 282 del 07/05/2019")</f>
        <v>Determina 282 del 07/05/2019</v>
      </c>
      <c r="E235" s="27" t="s">
        <v>428</v>
      </c>
      <c r="F235" s="13" t="s">
        <v>12</v>
      </c>
      <c r="G235" s="18" t="s">
        <v>291</v>
      </c>
      <c r="H235" s="10"/>
      <c r="I235" s="10"/>
      <c r="J235" s="10"/>
      <c r="K235" s="10"/>
    </row>
    <row r="236" ht="30.0" customHeight="1">
      <c r="A236" s="4" t="s">
        <v>429</v>
      </c>
      <c r="B236" s="35" t="s">
        <v>430</v>
      </c>
      <c r="C236" s="44">
        <v>79309.21</v>
      </c>
      <c r="D236" s="7" t="str">
        <f>HYPERLINK("http://www.usrc.it/AppRendiConta/det_284_20190508.pdf","Determina 284 del 08/05/2019")</f>
        <v>Determina 284 del 08/05/2019</v>
      </c>
      <c r="E236" s="27" t="s">
        <v>431</v>
      </c>
      <c r="F236" s="13" t="s">
        <v>12</v>
      </c>
      <c r="G236" s="18" t="s">
        <v>357</v>
      </c>
      <c r="H236" s="10"/>
      <c r="I236" s="10"/>
      <c r="J236" s="10"/>
      <c r="K236" s="10"/>
    </row>
    <row r="237" ht="30.0" customHeight="1">
      <c r="A237" s="4" t="s">
        <v>371</v>
      </c>
      <c r="B237" s="35" t="s">
        <v>372</v>
      </c>
      <c r="C237" s="44">
        <v>1901553.89</v>
      </c>
      <c r="D237" s="7" t="str">
        <f>HYPERLINK("http://www.usrc.it/AppRendiConta/det_285_20190508.pdf","Determina 285 del 08/05/2019")</f>
        <v>Determina 285 del 08/05/2019</v>
      </c>
      <c r="E237" s="27" t="s">
        <v>432</v>
      </c>
      <c r="F237" s="13" t="s">
        <v>12</v>
      </c>
      <c r="G237" s="18" t="s">
        <v>357</v>
      </c>
      <c r="H237" s="10"/>
      <c r="I237" s="10"/>
      <c r="J237" s="10"/>
      <c r="K237" s="10"/>
    </row>
    <row r="238" ht="30.0" customHeight="1">
      <c r="A238" s="4" t="s">
        <v>433</v>
      </c>
      <c r="B238" s="35" t="s">
        <v>434</v>
      </c>
      <c r="C238" s="44">
        <v>107486.24</v>
      </c>
      <c r="D238" s="7" t="str">
        <f>HYPERLINK("http://www.usrc.it/AppRendiConta/det_286_20190508.pdf","Determina 286 del 08/05/2019")</f>
        <v>Determina 286 del 08/05/2019</v>
      </c>
      <c r="E238" s="27" t="s">
        <v>435</v>
      </c>
      <c r="F238" s="13" t="s">
        <v>12</v>
      </c>
      <c r="G238" s="18" t="s">
        <v>436</v>
      </c>
      <c r="H238" s="10"/>
      <c r="I238" s="10"/>
      <c r="J238" s="10"/>
      <c r="K238" s="10"/>
    </row>
    <row r="239" ht="30.0" customHeight="1">
      <c r="A239" s="4" t="s">
        <v>138</v>
      </c>
      <c r="B239" s="35" t="s">
        <v>139</v>
      </c>
      <c r="C239" s="44">
        <v>2847312.16</v>
      </c>
      <c r="D239" s="7" t="str">
        <f t="shared" ref="D239:D240" si="14">HYPERLINK("http://www.usrc.it/AppRendiConta/det_288_20190510.pdf","Determina 288 del 10/05/2019")</f>
        <v>Determina 288 del 10/05/2019</v>
      </c>
      <c r="E239" s="27" t="s">
        <v>437</v>
      </c>
      <c r="F239" s="13" t="s">
        <v>12</v>
      </c>
      <c r="G239" s="18" t="s">
        <v>291</v>
      </c>
      <c r="H239" s="10"/>
      <c r="I239" s="10"/>
      <c r="J239" s="10"/>
      <c r="K239" s="10"/>
    </row>
    <row r="240" ht="30.0" customHeight="1">
      <c r="A240" s="4" t="s">
        <v>138</v>
      </c>
      <c r="B240" s="35" t="s">
        <v>139</v>
      </c>
      <c r="C240" s="44">
        <v>611339.93</v>
      </c>
      <c r="D240" s="7" t="str">
        <f t="shared" si="14"/>
        <v>Determina 288 del 10/05/2019</v>
      </c>
      <c r="E240" s="27" t="s">
        <v>437</v>
      </c>
      <c r="F240" s="13" t="s">
        <v>12</v>
      </c>
      <c r="G240" s="18" t="s">
        <v>438</v>
      </c>
      <c r="H240" s="10"/>
      <c r="I240" s="10"/>
      <c r="J240" s="10"/>
      <c r="K240" s="10"/>
    </row>
    <row r="241" ht="30.0" customHeight="1">
      <c r="A241" s="4" t="s">
        <v>439</v>
      </c>
      <c r="B241" s="35" t="s">
        <v>440</v>
      </c>
      <c r="C241" s="44">
        <v>10400.0</v>
      </c>
      <c r="D241" s="7" t="str">
        <f t="shared" ref="D241:D248" si="15">HYPERLINK("http://www.usrc.it/AppRendiConta/det_290_20190514.pdf","Determina 290 del 14/05/2019")</f>
        <v>Determina 290 del 14/05/2019</v>
      </c>
      <c r="E241" s="27" t="s">
        <v>441</v>
      </c>
      <c r="F241" s="5" t="s">
        <v>12</v>
      </c>
      <c r="G241" s="9" t="s">
        <v>442</v>
      </c>
      <c r="H241" s="10"/>
      <c r="I241" s="10"/>
      <c r="J241" s="10"/>
      <c r="K241" s="10"/>
    </row>
    <row r="242" ht="30.0" customHeight="1">
      <c r="A242" s="4" t="s">
        <v>274</v>
      </c>
      <c r="B242" s="35" t="s">
        <v>275</v>
      </c>
      <c r="C242" s="44">
        <v>18009.68</v>
      </c>
      <c r="D242" s="7" t="str">
        <f t="shared" si="15"/>
        <v>Determina 290 del 14/05/2019</v>
      </c>
      <c r="E242" s="27" t="s">
        <v>443</v>
      </c>
      <c r="F242" s="5" t="s">
        <v>12</v>
      </c>
      <c r="G242" s="9" t="s">
        <v>442</v>
      </c>
      <c r="H242" s="10"/>
      <c r="I242" s="10"/>
      <c r="J242" s="10"/>
      <c r="K242" s="10"/>
    </row>
    <row r="243" ht="30.0" customHeight="1">
      <c r="A243" s="4" t="s">
        <v>444</v>
      </c>
      <c r="B243" s="35" t="s">
        <v>445</v>
      </c>
      <c r="C243" s="44">
        <v>29400.0</v>
      </c>
      <c r="D243" s="7" t="str">
        <f t="shared" si="15"/>
        <v>Determina 290 del 14/05/2019</v>
      </c>
      <c r="E243" s="27" t="s">
        <v>446</v>
      </c>
      <c r="F243" s="5" t="s">
        <v>12</v>
      </c>
      <c r="G243" s="9" t="s">
        <v>442</v>
      </c>
      <c r="H243" s="10"/>
      <c r="I243" s="10"/>
      <c r="J243" s="10"/>
      <c r="K243" s="10"/>
    </row>
    <row r="244" ht="30.0" customHeight="1">
      <c r="A244" s="4" t="s">
        <v>447</v>
      </c>
      <c r="B244" s="35" t="s">
        <v>448</v>
      </c>
      <c r="C244" s="44">
        <v>133174.19</v>
      </c>
      <c r="D244" s="7" t="str">
        <f t="shared" si="15"/>
        <v>Determina 290 del 14/05/2019</v>
      </c>
      <c r="E244" s="27" t="s">
        <v>449</v>
      </c>
      <c r="F244" s="5" t="s">
        <v>12</v>
      </c>
      <c r="G244" s="9" t="s">
        <v>442</v>
      </c>
      <c r="H244" s="10"/>
      <c r="I244" s="10"/>
      <c r="J244" s="10"/>
      <c r="K244" s="10"/>
    </row>
    <row r="245" ht="30.0" customHeight="1">
      <c r="A245" s="4" t="s">
        <v>450</v>
      </c>
      <c r="B245" s="35" t="s">
        <v>451</v>
      </c>
      <c r="C245" s="44">
        <v>4400.0</v>
      </c>
      <c r="D245" s="7" t="str">
        <f t="shared" si="15"/>
        <v>Determina 290 del 14/05/2019</v>
      </c>
      <c r="E245" s="27" t="s">
        <v>452</v>
      </c>
      <c r="F245" s="5" t="s">
        <v>12</v>
      </c>
      <c r="G245" s="9" t="s">
        <v>442</v>
      </c>
      <c r="H245" s="10"/>
      <c r="I245" s="10"/>
      <c r="J245" s="10"/>
      <c r="K245" s="10"/>
    </row>
    <row r="246" ht="30.0" customHeight="1">
      <c r="A246" s="4" t="s">
        <v>217</v>
      </c>
      <c r="B246" s="35" t="s">
        <v>218</v>
      </c>
      <c r="C246" s="44">
        <v>5174.19</v>
      </c>
      <c r="D246" s="7" t="str">
        <f t="shared" si="15"/>
        <v>Determina 290 del 14/05/2019</v>
      </c>
      <c r="E246" s="27" t="s">
        <v>453</v>
      </c>
      <c r="F246" s="5" t="s">
        <v>12</v>
      </c>
      <c r="G246" s="9" t="s">
        <v>442</v>
      </c>
      <c r="H246" s="10"/>
      <c r="I246" s="10"/>
      <c r="J246" s="10"/>
      <c r="K246" s="10"/>
    </row>
    <row r="247" ht="30.0" customHeight="1">
      <c r="A247" s="4" t="s">
        <v>115</v>
      </c>
      <c r="B247" s="35" t="s">
        <v>116</v>
      </c>
      <c r="C247" s="44">
        <v>20000.0</v>
      </c>
      <c r="D247" s="7" t="str">
        <f t="shared" si="15"/>
        <v>Determina 290 del 14/05/2019</v>
      </c>
      <c r="E247" s="27" t="s">
        <v>454</v>
      </c>
      <c r="F247" s="5" t="s">
        <v>12</v>
      </c>
      <c r="G247" s="9" t="s">
        <v>442</v>
      </c>
      <c r="H247" s="10"/>
      <c r="I247" s="10"/>
      <c r="J247" s="10"/>
      <c r="K247" s="10"/>
    </row>
    <row r="248" ht="30.0" customHeight="1">
      <c r="A248" s="4" t="s">
        <v>14</v>
      </c>
      <c r="B248" s="35" t="s">
        <v>15</v>
      </c>
      <c r="C248" s="44">
        <v>17500.0</v>
      </c>
      <c r="D248" s="7" t="str">
        <f t="shared" si="15"/>
        <v>Determina 290 del 14/05/2019</v>
      </c>
      <c r="E248" s="27" t="s">
        <v>455</v>
      </c>
      <c r="F248" s="5" t="s">
        <v>12</v>
      </c>
      <c r="G248" s="9" t="s">
        <v>442</v>
      </c>
      <c r="H248" s="10"/>
      <c r="I248" s="10"/>
      <c r="J248" s="10"/>
      <c r="K248" s="10"/>
    </row>
    <row r="249" ht="30.0" customHeight="1">
      <c r="A249" s="4" t="s">
        <v>456</v>
      </c>
      <c r="B249" s="35" t="s">
        <v>457</v>
      </c>
      <c r="C249" s="44">
        <v>81218.89</v>
      </c>
      <c r="D249" s="7" t="str">
        <f>HYPERLINK("http://www.usrc.it/AppRendiConta/det_292_20190515.pdf","Determina 292 del 15/05/2019")</f>
        <v>Determina 292 del 15/05/2019</v>
      </c>
      <c r="E249" s="27" t="s">
        <v>458</v>
      </c>
      <c r="F249" s="5" t="s">
        <v>12</v>
      </c>
      <c r="G249" s="9" t="s">
        <v>459</v>
      </c>
      <c r="H249" s="10"/>
      <c r="I249" s="10"/>
      <c r="J249" s="10"/>
      <c r="K249" s="10"/>
    </row>
    <row r="250" ht="30.0" customHeight="1">
      <c r="A250" s="4" t="s">
        <v>460</v>
      </c>
      <c r="B250" s="35" t="s">
        <v>461</v>
      </c>
      <c r="C250" s="44">
        <v>489934.33</v>
      </c>
      <c r="D250" s="50" t="str">
        <f>HYPERLINK("http://www.usrc.it/AppRendiConta/det_299_20190520.pdf","Determina 299 del 20/05/2019")</f>
        <v>Determina 299 del 20/05/2019</v>
      </c>
      <c r="E250" s="27" t="s">
        <v>462</v>
      </c>
      <c r="F250" s="13" t="s">
        <v>12</v>
      </c>
      <c r="G250" s="18" t="s">
        <v>438</v>
      </c>
      <c r="H250" s="10"/>
      <c r="I250" s="10"/>
      <c r="J250" s="10"/>
      <c r="K250" s="10"/>
    </row>
    <row r="251" ht="30.0" customHeight="1">
      <c r="A251" s="4" t="s">
        <v>42</v>
      </c>
      <c r="B251" s="35" t="s">
        <v>43</v>
      </c>
      <c r="C251" s="44">
        <v>655707.32</v>
      </c>
      <c r="D251" s="7" t="str">
        <f>HYPERLINK("http://www.usrc.it/AppRendiConta/det_300_20190520.pdf","Determina 300 del 20/05/2019")</f>
        <v>Determina 300 del 20/05/2019</v>
      </c>
      <c r="E251" s="27" t="s">
        <v>463</v>
      </c>
      <c r="F251" s="13" t="s">
        <v>12</v>
      </c>
      <c r="G251" s="18" t="s">
        <v>438</v>
      </c>
      <c r="H251" s="10"/>
      <c r="I251" s="10"/>
      <c r="J251" s="10"/>
      <c r="K251" s="10"/>
    </row>
    <row r="252" ht="30.0" customHeight="1">
      <c r="A252" s="4" t="s">
        <v>171</v>
      </c>
      <c r="B252" s="35" t="s">
        <v>172</v>
      </c>
      <c r="C252" s="44">
        <v>2062923.29</v>
      </c>
      <c r="D252" s="7" t="str">
        <f>HYPERLINK("http://www.usrc.it/AppRendiConta/det_301_20190520.pdf","Determina 301 del 20/05/2019")</f>
        <v>Determina 301 del 20/05/2019</v>
      </c>
      <c r="E252" s="27" t="s">
        <v>464</v>
      </c>
      <c r="F252" s="13" t="s">
        <v>12</v>
      </c>
      <c r="G252" s="18" t="s">
        <v>438</v>
      </c>
      <c r="H252" s="10"/>
      <c r="I252" s="10"/>
      <c r="J252" s="10"/>
      <c r="K252" s="10"/>
    </row>
    <row r="253" ht="30.0" customHeight="1">
      <c r="A253" s="9" t="s">
        <v>66</v>
      </c>
      <c r="B253" s="35" t="s">
        <v>67</v>
      </c>
      <c r="C253" s="44">
        <v>46810.25</v>
      </c>
      <c r="D253" s="7" t="str">
        <f>HYPERLINK("http://www.usrc.it/AppRendiConta/det_303_20190521.pdf","Determina 303 del 21/05/2019")</f>
        <v>Determina 303 del 21/05/2019</v>
      </c>
      <c r="E253" s="27" t="s">
        <v>465</v>
      </c>
      <c r="F253" s="13" t="s">
        <v>12</v>
      </c>
      <c r="G253" s="9" t="s">
        <v>81</v>
      </c>
      <c r="H253" s="10"/>
      <c r="I253" s="10"/>
      <c r="J253" s="10"/>
      <c r="K253" s="10"/>
    </row>
    <row r="254" ht="30.0" customHeight="1">
      <c r="A254" s="9" t="s">
        <v>466</v>
      </c>
      <c r="B254" s="35" t="s">
        <v>467</v>
      </c>
      <c r="C254" s="44">
        <v>69374.7</v>
      </c>
      <c r="D254" s="7" t="str">
        <f>HYPERLINK("http://www.usrc.it/AppRendiConta/det_304_20190521.pdf","Determina 304 del 21/05/2019")</f>
        <v>Determina 304 del 21/05/2019</v>
      </c>
      <c r="E254" s="27" t="s">
        <v>468</v>
      </c>
      <c r="F254" s="13" t="s">
        <v>12</v>
      </c>
      <c r="G254" s="9" t="s">
        <v>357</v>
      </c>
      <c r="H254" s="10"/>
      <c r="I254" s="10"/>
      <c r="J254" s="10"/>
      <c r="K254" s="10"/>
    </row>
    <row r="255" ht="30.0" customHeight="1">
      <c r="A255" s="9" t="s">
        <v>285</v>
      </c>
      <c r="B255" s="35" t="s">
        <v>30</v>
      </c>
      <c r="C255" s="44">
        <v>100540.19</v>
      </c>
      <c r="D255" s="7" t="str">
        <f>HYPERLINK("http://www.usrc.it/AppRendiConta/det_305_20190521.pdf","Determina 305 del 21/05/2019")</f>
        <v>Determina 305 del 21/05/2019</v>
      </c>
      <c r="E255" s="27" t="s">
        <v>469</v>
      </c>
      <c r="F255" s="5" t="s">
        <v>12</v>
      </c>
      <c r="G255" s="9" t="s">
        <v>81</v>
      </c>
      <c r="H255" s="10"/>
      <c r="I255" s="10"/>
      <c r="J255" s="10"/>
      <c r="K255" s="10"/>
    </row>
    <row r="256" ht="30.0" customHeight="1">
      <c r="A256" s="9" t="s">
        <v>270</v>
      </c>
      <c r="B256" s="35" t="s">
        <v>271</v>
      </c>
      <c r="C256" s="44">
        <v>62780.24</v>
      </c>
      <c r="D256" s="7" t="str">
        <f>HYPERLINK("http://www.usrc.it/AppRendiConta/det_308_20190521.pdf","Determina 308 del 21/05/2019")</f>
        <v>Determina 308 del 21/05/2019</v>
      </c>
      <c r="E256" s="27" t="s">
        <v>470</v>
      </c>
      <c r="F256" s="13" t="s">
        <v>12</v>
      </c>
      <c r="G256" s="9" t="s">
        <v>357</v>
      </c>
      <c r="H256" s="10"/>
      <c r="I256" s="10"/>
      <c r="J256" s="10"/>
      <c r="K256" s="10"/>
    </row>
    <row r="257" ht="30.0" customHeight="1">
      <c r="A257" s="4" t="s">
        <v>145</v>
      </c>
      <c r="B257" s="35" t="s">
        <v>180</v>
      </c>
      <c r="C257" s="44">
        <v>32000.0</v>
      </c>
      <c r="D257" s="7" t="str">
        <f>HYPERLINK("http://www.usrc.it/AppRendiConta/det_315_20190522.pdf","Determina 315 del 22/05/2019")</f>
        <v>Determina 315 del 22/05/2019</v>
      </c>
      <c r="E257" s="27" t="s">
        <v>471</v>
      </c>
      <c r="F257" s="5" t="s">
        <v>12</v>
      </c>
      <c r="G257" s="9" t="s">
        <v>191</v>
      </c>
      <c r="H257" s="10"/>
      <c r="I257" s="10"/>
      <c r="J257" s="10"/>
      <c r="K257" s="10"/>
    </row>
    <row r="258" ht="30.0" customHeight="1">
      <c r="A258" s="4" t="s">
        <v>274</v>
      </c>
      <c r="B258" s="35" t="s">
        <v>275</v>
      </c>
      <c r="C258" s="44">
        <v>907566.06</v>
      </c>
      <c r="D258" s="7" t="str">
        <f>HYPERLINK("http://www.usrc.it/AppRendiConta/det_318_20190524.pdf","Determina 318 del 24/05/2019")</f>
        <v>Determina 318 del 24/05/2019</v>
      </c>
      <c r="E258" s="27" t="s">
        <v>276</v>
      </c>
      <c r="F258" s="13" t="s">
        <v>12</v>
      </c>
      <c r="G258" s="9" t="s">
        <v>357</v>
      </c>
      <c r="H258" s="10"/>
      <c r="I258" s="10"/>
      <c r="J258" s="10"/>
      <c r="K258" s="10"/>
    </row>
    <row r="259" ht="30.0" customHeight="1">
      <c r="A259" s="4" t="s">
        <v>201</v>
      </c>
      <c r="B259" s="35" t="s">
        <v>202</v>
      </c>
      <c r="C259" s="44">
        <v>1777059.64</v>
      </c>
      <c r="D259" s="7" t="str">
        <f>HYPERLINK("http://www.usrc.it/AppRendiConta/det_319_20190527.pdf","Determina 319 del 27/05/2019")</f>
        <v>Determina 319 del 27/05/2019</v>
      </c>
      <c r="E259" s="27" t="s">
        <v>472</v>
      </c>
      <c r="F259" s="13" t="s">
        <v>12</v>
      </c>
      <c r="G259" s="18" t="s">
        <v>438</v>
      </c>
      <c r="H259" s="10"/>
      <c r="I259" s="10"/>
      <c r="J259" s="10"/>
      <c r="K259" s="10"/>
    </row>
    <row r="260" ht="30.0" customHeight="1">
      <c r="A260" s="4" t="s">
        <v>151</v>
      </c>
      <c r="B260" s="35" t="s">
        <v>152</v>
      </c>
      <c r="C260" s="44">
        <v>215250.79</v>
      </c>
      <c r="D260" s="7" t="str">
        <f>HYPERLINK("http://www.usrc.it/AppRendiConta/det_320_20190527.pdf","Determina 320 del 27/05/2019")</f>
        <v>Determina 320 del 27/05/2019</v>
      </c>
      <c r="E260" s="27" t="s">
        <v>473</v>
      </c>
      <c r="F260" s="13" t="s">
        <v>12</v>
      </c>
      <c r="G260" s="18" t="s">
        <v>438</v>
      </c>
      <c r="H260" s="10"/>
      <c r="I260" s="10"/>
      <c r="J260" s="10"/>
      <c r="K260" s="10"/>
    </row>
    <row r="261" ht="30.0" customHeight="1">
      <c r="A261" s="4" t="s">
        <v>474</v>
      </c>
      <c r="B261" s="35" t="s">
        <v>475</v>
      </c>
      <c r="C261" s="44">
        <v>675430.33</v>
      </c>
      <c r="D261" s="7" t="str">
        <f t="shared" ref="D261:D262" si="16">HYPERLINK("http://www.usrc.it/AppRendiConta/det_321_20190527.pdf","Determina 321 del 27/05/2019")</f>
        <v>Determina 321 del 27/05/2019</v>
      </c>
      <c r="E261" s="27" t="s">
        <v>476</v>
      </c>
      <c r="F261" s="13" t="s">
        <v>12</v>
      </c>
      <c r="G261" s="18" t="s">
        <v>438</v>
      </c>
      <c r="H261" s="10"/>
      <c r="I261" s="10"/>
      <c r="J261" s="10"/>
      <c r="K261" s="10"/>
    </row>
    <row r="262" ht="30.0" customHeight="1">
      <c r="A262" s="4" t="s">
        <v>474</v>
      </c>
      <c r="B262" s="35" t="s">
        <v>475</v>
      </c>
      <c r="C262" s="44">
        <v>1566165.65</v>
      </c>
      <c r="D262" s="7" t="str">
        <f t="shared" si="16"/>
        <v>Determina 321 del 27/05/2019</v>
      </c>
      <c r="E262" s="27" t="s">
        <v>476</v>
      </c>
      <c r="F262" s="13" t="s">
        <v>12</v>
      </c>
      <c r="G262" s="18" t="s">
        <v>477</v>
      </c>
      <c r="H262" s="10"/>
      <c r="I262" s="10"/>
      <c r="J262" s="10"/>
      <c r="K262" s="10"/>
    </row>
    <row r="263" ht="30.0" customHeight="1">
      <c r="A263" s="4" t="s">
        <v>72</v>
      </c>
      <c r="B263" s="35" t="s">
        <v>73</v>
      </c>
      <c r="C263" s="44">
        <v>2828542.42</v>
      </c>
      <c r="D263" s="7" t="str">
        <f t="shared" ref="D263:D264" si="17">HYPERLINK("http://www.usrc.it/AppRendiConta/det_322_20190527.pdf","Determina 322 del 27/05/2019")</f>
        <v>Determina 322 del 27/05/2019</v>
      </c>
      <c r="E263" s="27" t="s">
        <v>478</v>
      </c>
      <c r="F263" s="13" t="s">
        <v>12</v>
      </c>
      <c r="G263" s="18" t="s">
        <v>477</v>
      </c>
      <c r="H263" s="10"/>
      <c r="I263" s="10"/>
      <c r="J263" s="10"/>
      <c r="K263" s="10"/>
    </row>
    <row r="264" ht="30.0" customHeight="1">
      <c r="A264" s="4" t="s">
        <v>72</v>
      </c>
      <c r="B264" s="35" t="s">
        <v>73</v>
      </c>
      <c r="C264" s="44">
        <v>780103.51</v>
      </c>
      <c r="D264" s="7" t="str">
        <f t="shared" si="17"/>
        <v>Determina 322 del 27/05/2019</v>
      </c>
      <c r="E264" s="27" t="s">
        <v>478</v>
      </c>
      <c r="F264" s="13" t="s">
        <v>12</v>
      </c>
      <c r="G264" s="18" t="s">
        <v>479</v>
      </c>
      <c r="H264" s="10"/>
      <c r="I264" s="10"/>
      <c r="J264" s="10"/>
      <c r="K264" s="10"/>
    </row>
    <row r="265" ht="30.0" customHeight="1">
      <c r="A265" s="4" t="s">
        <v>287</v>
      </c>
      <c r="B265" s="35" t="s">
        <v>288</v>
      </c>
      <c r="C265" s="44">
        <v>31191.4</v>
      </c>
      <c r="D265" s="7" t="str">
        <f>HYPERLINK("http://www.usrc.it/AppRendiConta/det_323_20190527.pdf","Determina 323 del 27/05/2019")</f>
        <v>Determina 323 del 27/05/2019</v>
      </c>
      <c r="E265" s="27" t="s">
        <v>480</v>
      </c>
      <c r="F265" s="5" t="s">
        <v>12</v>
      </c>
      <c r="G265" s="9" t="s">
        <v>101</v>
      </c>
      <c r="H265" s="10"/>
      <c r="I265" s="10"/>
      <c r="J265" s="10"/>
      <c r="K265" s="10"/>
    </row>
    <row r="266" ht="30.0" customHeight="1">
      <c r="A266" s="4" t="s">
        <v>282</v>
      </c>
      <c r="B266" s="35" t="s">
        <v>283</v>
      </c>
      <c r="C266" s="44">
        <v>66061.34</v>
      </c>
      <c r="D266" s="7" t="str">
        <f>HYPERLINK("http://www.usrc.it/AppRendiConta/det_324_20190527.pdf","Determina 324 del 27/05/2019")</f>
        <v>Determina 324 del 27/05/2019</v>
      </c>
      <c r="E266" s="27" t="s">
        <v>481</v>
      </c>
      <c r="F266" s="13" t="s">
        <v>12</v>
      </c>
      <c r="G266" s="9" t="s">
        <v>81</v>
      </c>
      <c r="H266" s="10"/>
      <c r="I266" s="10"/>
      <c r="J266" s="10"/>
      <c r="K266" s="10"/>
    </row>
    <row r="267" ht="30.0" customHeight="1">
      <c r="A267" s="4" t="s">
        <v>403</v>
      </c>
      <c r="B267" s="35" t="s">
        <v>404</v>
      </c>
      <c r="C267" s="44">
        <v>609501.6</v>
      </c>
      <c r="D267" s="7" t="str">
        <f>HYPERLINK("http://www.usrc.it/AppRendiConta/det_325_20190527.pdf","Determina 325 del 27/05/2019")</f>
        <v>Determina 325 del 27/05/2019</v>
      </c>
      <c r="E267" s="27" t="s">
        <v>482</v>
      </c>
      <c r="F267" s="13" t="s">
        <v>12</v>
      </c>
      <c r="G267" s="9" t="s">
        <v>357</v>
      </c>
      <c r="H267" s="10"/>
      <c r="I267" s="10"/>
      <c r="J267" s="10"/>
      <c r="K267" s="10"/>
    </row>
    <row r="268" ht="30.0" customHeight="1">
      <c r="A268" s="4" t="s">
        <v>196</v>
      </c>
      <c r="B268" s="35" t="s">
        <v>197</v>
      </c>
      <c r="C268" s="44">
        <v>28738.32</v>
      </c>
      <c r="D268" s="7" t="str">
        <f>HYPERLINK("http://www.usrc.it/AppRendiConta/det_326_20190527.pdf","Determina 326 del 27/05/2019")</f>
        <v>Determina 326 del 27/05/2019</v>
      </c>
      <c r="E268" s="27" t="s">
        <v>483</v>
      </c>
      <c r="F268" s="5" t="s">
        <v>12</v>
      </c>
      <c r="G268" s="9" t="s">
        <v>101</v>
      </c>
      <c r="H268" s="10"/>
      <c r="I268" s="10"/>
      <c r="J268" s="10"/>
      <c r="K268" s="10"/>
    </row>
    <row r="269" ht="30.0" customHeight="1">
      <c r="A269" s="4" t="s">
        <v>167</v>
      </c>
      <c r="B269" s="35" t="s">
        <v>168</v>
      </c>
      <c r="C269" s="44">
        <v>71767.72</v>
      </c>
      <c r="D269" s="7" t="str">
        <f>HYPERLINK("http://www.usrc.it/AppRendiConta/det_327_20190527.pdf","Determina 327 del 27/05/2019")</f>
        <v>Determina 327 del 27/05/2019</v>
      </c>
      <c r="E269" s="27" t="s">
        <v>484</v>
      </c>
      <c r="F269" s="5" t="s">
        <v>12</v>
      </c>
      <c r="G269" s="9" t="s">
        <v>101</v>
      </c>
      <c r="H269" s="10"/>
      <c r="I269" s="10"/>
      <c r="J269" s="10"/>
      <c r="K269" s="10"/>
    </row>
    <row r="270" ht="30.0" customHeight="1">
      <c r="A270" s="4" t="s">
        <v>390</v>
      </c>
      <c r="B270" s="51" t="s">
        <v>391</v>
      </c>
      <c r="C270" s="44">
        <v>148429.04</v>
      </c>
      <c r="D270" s="7" t="str">
        <f>HYPERLINK("http://www.usrc.it/AppRendiConta/det_328_20190527.pdf","Determina 328 del 27/05/2019")</f>
        <v>Determina 328 del 27/05/2019</v>
      </c>
      <c r="E270" s="27" t="s">
        <v>485</v>
      </c>
      <c r="F270" s="5" t="s">
        <v>12</v>
      </c>
      <c r="G270" s="9" t="s">
        <v>25</v>
      </c>
      <c r="H270" s="10"/>
      <c r="I270" s="10"/>
      <c r="J270" s="10"/>
      <c r="K270" s="10"/>
    </row>
    <row r="271" ht="30.0" customHeight="1">
      <c r="A271" s="4" t="s">
        <v>486</v>
      </c>
      <c r="B271" s="35" t="s">
        <v>487</v>
      </c>
      <c r="C271" s="44">
        <v>890691.94</v>
      </c>
      <c r="D271" s="7" t="str">
        <f>HYPERLINK("http://www.usrc.it/AppRendiConta/det_329_20190527.pdf","Determina 329 del 27/05/2019")</f>
        <v>Determina 329 del 27/05/2019</v>
      </c>
      <c r="E271" s="27" t="s">
        <v>488</v>
      </c>
      <c r="F271" s="5" t="s">
        <v>12</v>
      </c>
      <c r="G271" s="9" t="s">
        <v>25</v>
      </c>
      <c r="H271" s="10"/>
      <c r="I271" s="10"/>
      <c r="J271" s="10"/>
      <c r="K271" s="10"/>
    </row>
    <row r="272" ht="30.0" customHeight="1">
      <c r="A272" s="4" t="s">
        <v>48</v>
      </c>
      <c r="B272" s="35" t="s">
        <v>49</v>
      </c>
      <c r="C272" s="44">
        <v>34976.05</v>
      </c>
      <c r="D272" s="7" t="str">
        <f>HYPERLINK("http://www.usrc.it/AppRendiConta/det_333_20190528.pdf","Determina 333 del 28/05/2019")</f>
        <v>Determina 333 del 28/05/2019</v>
      </c>
      <c r="E272" s="27" t="s">
        <v>489</v>
      </c>
      <c r="F272" s="5" t="s">
        <v>12</v>
      </c>
      <c r="G272" s="9" t="s">
        <v>101</v>
      </c>
      <c r="H272" s="10"/>
      <c r="I272" s="10"/>
      <c r="J272" s="10"/>
      <c r="K272" s="10"/>
    </row>
    <row r="273" ht="30.0" customHeight="1">
      <c r="A273" s="4" t="s">
        <v>250</v>
      </c>
      <c r="B273" s="35" t="s">
        <v>251</v>
      </c>
      <c r="C273" s="44">
        <v>680.0</v>
      </c>
      <c r="D273" s="7" t="str">
        <f>HYPERLINK("http://www.usrc.it/AppRendiConta/det_335_20190528.pdf","Determina 335 del 28/05/2019")</f>
        <v>Determina 335 del 28/05/2019</v>
      </c>
      <c r="E273" s="27" t="s">
        <v>490</v>
      </c>
      <c r="F273" s="5" t="s">
        <v>12</v>
      </c>
      <c r="G273" s="9" t="s">
        <v>101</v>
      </c>
      <c r="H273" s="10"/>
      <c r="I273" s="10"/>
      <c r="J273" s="10"/>
      <c r="K273" s="10"/>
    </row>
    <row r="274" ht="30.0" customHeight="1">
      <c r="A274" s="4" t="s">
        <v>250</v>
      </c>
      <c r="B274" s="35" t="s">
        <v>251</v>
      </c>
      <c r="C274" s="44">
        <v>30580.0</v>
      </c>
      <c r="D274" s="7" t="str">
        <f>HYPERLINK("http://www.usrc.it/AppRendiConta/det_336_20190528.pdf","Determina 336 del 28/05/2019")</f>
        <v>Determina 336 del 28/05/2019</v>
      </c>
      <c r="E274" s="27" t="s">
        <v>491</v>
      </c>
      <c r="F274" s="5" t="s">
        <v>12</v>
      </c>
      <c r="G274" s="9" t="s">
        <v>101</v>
      </c>
      <c r="H274" s="10"/>
      <c r="I274" s="10"/>
      <c r="J274" s="10"/>
      <c r="K274" s="10"/>
    </row>
    <row r="275" ht="30.0" customHeight="1">
      <c r="A275" s="4" t="s">
        <v>72</v>
      </c>
      <c r="B275" s="35" t="s">
        <v>73</v>
      </c>
      <c r="C275" s="44">
        <v>8008.0</v>
      </c>
      <c r="D275" s="7" t="str">
        <f>HYPERLINK("http://www.usrc.it/AppRendiConta/det_337_20190528.pdf","Determina 337 del 28/05/2019")</f>
        <v>Determina 337 del 28/05/2019</v>
      </c>
      <c r="E275" s="27" t="s">
        <v>492</v>
      </c>
      <c r="F275" s="13" t="s">
        <v>12</v>
      </c>
      <c r="G275" s="9" t="s">
        <v>81</v>
      </c>
      <c r="H275" s="10"/>
      <c r="I275" s="10"/>
      <c r="J275" s="10"/>
      <c r="K275" s="10"/>
    </row>
    <row r="276" ht="30.0" customHeight="1">
      <c r="A276" s="4" t="s">
        <v>86</v>
      </c>
      <c r="B276" s="35" t="s">
        <v>87</v>
      </c>
      <c r="C276" s="44">
        <v>16841.47</v>
      </c>
      <c r="D276" s="7" t="str">
        <f>HYPERLINK("http://www.usrc.it/AppRendiConta/det_339_20190528.pdf","Determina 339 del 28/05/2019")</f>
        <v>Determina 339 del 28/05/2019</v>
      </c>
      <c r="E276" s="27" t="s">
        <v>493</v>
      </c>
      <c r="F276" s="5" t="s">
        <v>12</v>
      </c>
      <c r="G276" s="9" t="s">
        <v>81</v>
      </c>
      <c r="H276" s="10"/>
      <c r="I276" s="10"/>
      <c r="J276" s="10"/>
      <c r="K276" s="10"/>
    </row>
    <row r="277" ht="30.0" customHeight="1">
      <c r="A277" s="4" t="s">
        <v>75</v>
      </c>
      <c r="B277" s="35" t="s">
        <v>76</v>
      </c>
      <c r="C277" s="44">
        <v>6667.0</v>
      </c>
      <c r="D277" s="7" t="str">
        <f>HYPERLINK("http://www.usrc.it/AppRendiConta/det_342_20190530.pdf","Determina 342 del 30/05/2019")</f>
        <v>Determina 342 del 30/05/2019</v>
      </c>
      <c r="E277" s="27" t="s">
        <v>494</v>
      </c>
      <c r="F277" s="5" t="s">
        <v>12</v>
      </c>
      <c r="G277" s="9" t="s">
        <v>191</v>
      </c>
      <c r="H277" s="10"/>
      <c r="I277" s="10"/>
      <c r="J277" s="10"/>
      <c r="K277" s="10"/>
    </row>
    <row r="278" ht="30.0" customHeight="1">
      <c r="A278" s="4" t="s">
        <v>177</v>
      </c>
      <c r="B278" s="35" t="s">
        <v>178</v>
      </c>
      <c r="C278" s="44">
        <v>7800.0</v>
      </c>
      <c r="D278" s="7" t="str">
        <f>HYPERLINK("http://www.usrc.it/AppRendiConta/det_343_20190530.pdf","Determina 343 del 30/05/2019")</f>
        <v>Determina 343 del 30/05/2019</v>
      </c>
      <c r="E278" s="27" t="s">
        <v>495</v>
      </c>
      <c r="F278" s="5" t="s">
        <v>12</v>
      </c>
      <c r="G278" s="9" t="s">
        <v>191</v>
      </c>
      <c r="H278" s="10"/>
      <c r="I278" s="10"/>
      <c r="J278" s="10"/>
      <c r="K278" s="10"/>
    </row>
    <row r="279" ht="30.0" customHeight="1">
      <c r="A279" s="4" t="s">
        <v>32</v>
      </c>
      <c r="B279" s="35" t="s">
        <v>33</v>
      </c>
      <c r="C279" s="44">
        <v>2360633.25</v>
      </c>
      <c r="D279" s="7" t="str">
        <f>HYPERLINK("http://www.usrc.it/AppRendiConta/det_354_20190604.pdf","Determina 354 del 04/06/2019")</f>
        <v>Determina 354 del 04/06/2019</v>
      </c>
      <c r="E279" s="27" t="s">
        <v>496</v>
      </c>
      <c r="F279" s="13" t="s">
        <v>12</v>
      </c>
      <c r="G279" s="18" t="s">
        <v>479</v>
      </c>
      <c r="H279" s="10"/>
      <c r="I279" s="10"/>
      <c r="J279" s="10"/>
      <c r="K279" s="10"/>
    </row>
    <row r="280" ht="30.0" customHeight="1">
      <c r="A280" s="4" t="s">
        <v>447</v>
      </c>
      <c r="B280" s="35" t="s">
        <v>448</v>
      </c>
      <c r="C280" s="44">
        <v>324074.28</v>
      </c>
      <c r="D280" s="7" t="str">
        <f>HYPERLINK("http://www.usrc.it/AppRendiConta/det_355_20190604.pdf","Determina 355 del 04/06/2019")</f>
        <v>Determina 355 del 04/06/2019</v>
      </c>
      <c r="E280" s="27" t="s">
        <v>497</v>
      </c>
      <c r="F280" s="13" t="s">
        <v>12</v>
      </c>
      <c r="G280" s="9" t="s">
        <v>357</v>
      </c>
      <c r="H280" s="10"/>
      <c r="I280" s="10"/>
      <c r="J280" s="10"/>
      <c r="K280" s="10"/>
    </row>
    <row r="281" ht="30.0" customHeight="1">
      <c r="A281" s="4" t="s">
        <v>439</v>
      </c>
      <c r="B281" s="35" t="s">
        <v>440</v>
      </c>
      <c r="C281" s="44">
        <v>293640.48</v>
      </c>
      <c r="D281" s="7" t="str">
        <f>HYPERLINK("http://www.usrc.it/AppRendiConta/det_359_20190604.pdf","Determina 359 del 04/06/2019")</f>
        <v>Determina 359 del 04/06/2019</v>
      </c>
      <c r="E281" s="27" t="s">
        <v>498</v>
      </c>
      <c r="F281" s="13" t="s">
        <v>12</v>
      </c>
      <c r="G281" s="9" t="s">
        <v>357</v>
      </c>
      <c r="H281" s="10"/>
      <c r="I281" s="10"/>
      <c r="J281" s="10"/>
      <c r="K281" s="10"/>
    </row>
    <row r="282" ht="30.0" customHeight="1">
      <c r="A282" s="4" t="s">
        <v>167</v>
      </c>
      <c r="B282" s="35" t="s">
        <v>168</v>
      </c>
      <c r="C282" s="44">
        <v>5845269.17</v>
      </c>
      <c r="D282" s="7" t="str">
        <f>HYPERLINK("http://www.usrc.it/AppRendiConta/det_361_20190606.pdf","Determina 361 del 06/06/2019")</f>
        <v>Determina 361 del 06/06/2019</v>
      </c>
      <c r="E282" s="27" t="s">
        <v>499</v>
      </c>
      <c r="F282" s="13" t="s">
        <v>12</v>
      </c>
      <c r="G282" s="18" t="s">
        <v>479</v>
      </c>
      <c r="H282" s="10"/>
      <c r="I282" s="10"/>
      <c r="J282" s="10"/>
      <c r="K282" s="10"/>
    </row>
    <row r="283" ht="30.0" customHeight="1">
      <c r="A283" s="4" t="s">
        <v>169</v>
      </c>
      <c r="B283" s="35" t="s">
        <v>170</v>
      </c>
      <c r="C283" s="44">
        <v>53998.33</v>
      </c>
      <c r="D283" s="7" t="str">
        <f t="shared" ref="D283:D287" si="18">HYPERLINK("http://www.usrc.it/AppRendiConta/det_367_20190611.pdf","Determina 367 del 11/06/2019")</f>
        <v>Determina 367 del 11/06/2019</v>
      </c>
      <c r="E283" s="27" t="s">
        <v>500</v>
      </c>
      <c r="F283" s="5" t="s">
        <v>12</v>
      </c>
      <c r="G283" s="9" t="s">
        <v>501</v>
      </c>
      <c r="H283" s="10"/>
      <c r="I283" s="10"/>
      <c r="J283" s="10"/>
      <c r="K283" s="10"/>
    </row>
    <row r="284" ht="30.0" customHeight="1">
      <c r="A284" s="4" t="s">
        <v>164</v>
      </c>
      <c r="B284" s="35" t="s">
        <v>165</v>
      </c>
      <c r="C284" s="44">
        <v>85320.0</v>
      </c>
      <c r="D284" s="7" t="str">
        <f t="shared" si="18"/>
        <v>Determina 367 del 11/06/2019</v>
      </c>
      <c r="E284" s="27" t="s">
        <v>502</v>
      </c>
      <c r="F284" s="5" t="s">
        <v>12</v>
      </c>
      <c r="G284" s="9" t="s">
        <v>501</v>
      </c>
      <c r="H284" s="10"/>
      <c r="I284" s="10"/>
      <c r="J284" s="10"/>
      <c r="K284" s="10"/>
    </row>
    <row r="285" ht="30.0" customHeight="1">
      <c r="A285" s="4" t="s">
        <v>98</v>
      </c>
      <c r="B285" s="35" t="s">
        <v>99</v>
      </c>
      <c r="C285" s="44">
        <v>48700.0</v>
      </c>
      <c r="D285" s="7" t="str">
        <f t="shared" si="18"/>
        <v>Determina 367 del 11/06/2019</v>
      </c>
      <c r="E285" s="27" t="s">
        <v>503</v>
      </c>
      <c r="F285" s="5" t="s">
        <v>12</v>
      </c>
      <c r="G285" s="9" t="s">
        <v>501</v>
      </c>
      <c r="H285" s="10"/>
      <c r="I285" s="10"/>
      <c r="J285" s="10"/>
      <c r="K285" s="10"/>
    </row>
    <row r="286" ht="30.0" customHeight="1">
      <c r="A286" s="4" t="s">
        <v>474</v>
      </c>
      <c r="B286" s="35" t="s">
        <v>475</v>
      </c>
      <c r="C286" s="44">
        <v>100800.0</v>
      </c>
      <c r="D286" s="7" t="str">
        <f t="shared" si="18"/>
        <v>Determina 367 del 11/06/2019</v>
      </c>
      <c r="E286" s="27" t="s">
        <v>503</v>
      </c>
      <c r="F286" s="5" t="s">
        <v>12</v>
      </c>
      <c r="G286" s="9" t="s">
        <v>501</v>
      </c>
      <c r="H286" s="10"/>
      <c r="I286" s="10"/>
      <c r="J286" s="10"/>
      <c r="K286" s="10"/>
    </row>
    <row r="287" ht="30.0" customHeight="1">
      <c r="A287" s="4" t="s">
        <v>238</v>
      </c>
      <c r="B287" s="35" t="s">
        <v>239</v>
      </c>
      <c r="C287" s="44">
        <v>50400.0</v>
      </c>
      <c r="D287" s="7" t="str">
        <f t="shared" si="18"/>
        <v>Determina 367 del 11/06/2019</v>
      </c>
      <c r="E287" s="27" t="s">
        <v>504</v>
      </c>
      <c r="F287" s="5" t="s">
        <v>12</v>
      </c>
      <c r="G287" s="9" t="s">
        <v>501</v>
      </c>
      <c r="H287" s="10"/>
      <c r="I287" s="10"/>
      <c r="J287" s="10"/>
      <c r="K287" s="10"/>
    </row>
    <row r="288" ht="30.0" customHeight="1">
      <c r="A288" s="4" t="s">
        <v>261</v>
      </c>
      <c r="B288" s="35" t="s">
        <v>262</v>
      </c>
      <c r="C288" s="44">
        <v>61722.62</v>
      </c>
      <c r="D288" s="7" t="str">
        <f t="shared" ref="D288:D289" si="19">HYPERLINK("http://www.usrc.it/AppRendiConta/det_368_20190611.pdf","Determina 368 del 11/06/2019")</f>
        <v>Determina 368 del 11/06/2019</v>
      </c>
      <c r="E288" s="27" t="s">
        <v>505</v>
      </c>
      <c r="F288" s="13" t="s">
        <v>12</v>
      </c>
      <c r="G288" s="9" t="s">
        <v>506</v>
      </c>
      <c r="H288" s="10"/>
      <c r="I288" s="10"/>
      <c r="J288" s="10"/>
      <c r="K288" s="10"/>
    </row>
    <row r="289" ht="30.0" customHeight="1">
      <c r="A289" s="4" t="s">
        <v>261</v>
      </c>
      <c r="B289" s="35" t="s">
        <v>262</v>
      </c>
      <c r="C289" s="44">
        <v>1491412.93</v>
      </c>
      <c r="D289" s="7" t="str">
        <f t="shared" si="19"/>
        <v>Determina 368 del 11/06/2019</v>
      </c>
      <c r="E289" s="27" t="s">
        <v>505</v>
      </c>
      <c r="F289" s="13" t="s">
        <v>12</v>
      </c>
      <c r="G289" s="9" t="s">
        <v>507</v>
      </c>
      <c r="H289" s="10"/>
      <c r="I289" s="10"/>
      <c r="J289" s="10"/>
      <c r="K289" s="10"/>
    </row>
    <row r="290" ht="30.0" customHeight="1">
      <c r="A290" s="4" t="s">
        <v>460</v>
      </c>
      <c r="B290" s="35" t="s">
        <v>461</v>
      </c>
      <c r="C290" s="44">
        <v>50000.0</v>
      </c>
      <c r="D290" s="7" t="str">
        <f>HYPERLINK("http://www.usrc.it/AppRendiConta/det_369_20190614.pdf","Determina 369 del 14/06/2019")</f>
        <v>Determina 369 del 14/06/2019</v>
      </c>
      <c r="E290" s="27" t="s">
        <v>508</v>
      </c>
      <c r="F290" s="13" t="s">
        <v>12</v>
      </c>
      <c r="G290" s="9" t="s">
        <v>187</v>
      </c>
      <c r="H290" s="10"/>
      <c r="I290" s="10"/>
      <c r="J290" s="10"/>
      <c r="K290" s="10"/>
    </row>
    <row r="291" ht="30.0" customHeight="1">
      <c r="A291" s="4" t="s">
        <v>86</v>
      </c>
      <c r="B291" s="35" t="s">
        <v>87</v>
      </c>
      <c r="C291" s="44">
        <v>3858373.4</v>
      </c>
      <c r="D291" s="7" t="str">
        <f>HYPERLINK("http://www.usrc.it/AppRendiConta/det_371_20190614.pdf","Determina 371 del 14/06/2019")</f>
        <v>Determina 371 del 14/06/2019</v>
      </c>
      <c r="E291" s="27" t="s">
        <v>509</v>
      </c>
      <c r="F291" s="13" t="s">
        <v>12</v>
      </c>
      <c r="G291" s="18" t="s">
        <v>479</v>
      </c>
      <c r="H291" s="10"/>
      <c r="I291" s="10"/>
      <c r="J291" s="10"/>
      <c r="K291" s="10"/>
    </row>
    <row r="292" ht="30.0" customHeight="1">
      <c r="A292" s="4" t="s">
        <v>415</v>
      </c>
      <c r="B292" s="35" t="s">
        <v>180</v>
      </c>
      <c r="C292" s="44">
        <v>3738706.46</v>
      </c>
      <c r="D292" s="7" t="str">
        <f>HYPERLINK("http://www.usrc.it/AppRendiConta/det_372_20190614.pdf","Determina 372 del 14/06/2019")</f>
        <v>Determina 372 del 14/06/2019</v>
      </c>
      <c r="E292" s="27" t="s">
        <v>510</v>
      </c>
      <c r="F292" s="13" t="s">
        <v>12</v>
      </c>
      <c r="G292" s="18" t="s">
        <v>479</v>
      </c>
      <c r="H292" s="10"/>
      <c r="I292" s="10"/>
      <c r="J292" s="10"/>
      <c r="K292" s="10"/>
    </row>
    <row r="293" ht="30.0" customHeight="1">
      <c r="A293" s="4" t="s">
        <v>220</v>
      </c>
      <c r="B293" s="35" t="s">
        <v>221</v>
      </c>
      <c r="C293" s="44">
        <v>32000.0</v>
      </c>
      <c r="D293" s="7" t="str">
        <f>HYPERLINK("http://www.usrc.it/AppRendiConta/det_376_20190614.pdf","Determina 376 del 14/06/2019")</f>
        <v>Determina 376 del 14/06/2019</v>
      </c>
      <c r="E293" s="27" t="s">
        <v>511</v>
      </c>
      <c r="F293" s="5" t="s">
        <v>12</v>
      </c>
      <c r="G293" s="9" t="s">
        <v>191</v>
      </c>
      <c r="H293" s="10"/>
      <c r="I293" s="10"/>
      <c r="J293" s="10"/>
      <c r="K293" s="10"/>
    </row>
    <row r="294" ht="30.0" customHeight="1">
      <c r="A294" s="4" t="s">
        <v>512</v>
      </c>
      <c r="B294" s="35" t="s">
        <v>513</v>
      </c>
      <c r="C294" s="44">
        <v>14844.96</v>
      </c>
      <c r="D294" s="7" t="str">
        <f>HYPERLINK("http://www.usrc.it/AppRendiConta/det_380_20190619.pdf","Determina 380 del 19/06/2019")</f>
        <v>Determina 380 del 19/06/2019</v>
      </c>
      <c r="E294" s="27" t="s">
        <v>514</v>
      </c>
      <c r="F294" s="5" t="s">
        <v>12</v>
      </c>
      <c r="G294" s="9" t="s">
        <v>35</v>
      </c>
      <c r="H294" s="10"/>
      <c r="I294" s="10"/>
      <c r="J294" s="10"/>
      <c r="K294" s="10"/>
    </row>
    <row r="295" ht="30.0" customHeight="1">
      <c r="A295" s="4" t="s">
        <v>169</v>
      </c>
      <c r="B295" s="35" t="s">
        <v>170</v>
      </c>
      <c r="C295" s="44">
        <v>1688.5</v>
      </c>
      <c r="D295" s="7" t="str">
        <f>HYPERLINK("http://www.usrc.it/AppRendiConta/det_381_20190619.pdf","Determina 381 del 19/06/2019")</f>
        <v>Determina 381 del 19/06/2019</v>
      </c>
      <c r="E295" s="27" t="s">
        <v>515</v>
      </c>
      <c r="F295" s="5" t="s">
        <v>12</v>
      </c>
      <c r="G295" s="9" t="s">
        <v>21</v>
      </c>
      <c r="H295" s="10"/>
      <c r="I295" s="10"/>
      <c r="J295" s="10"/>
      <c r="K295" s="10"/>
    </row>
    <row r="296" ht="30.0" customHeight="1">
      <c r="A296" s="4" t="s">
        <v>86</v>
      </c>
      <c r="B296" s="35" t="s">
        <v>87</v>
      </c>
      <c r="C296" s="44">
        <v>9624.57</v>
      </c>
      <c r="D296" s="7" t="str">
        <f>HYPERLINK("http://www.usrc.it/AppRendiConta/det_382_20190619.pdf","Determina 382 del 19/06/2019")</f>
        <v>Determina 382 del 19/06/2019</v>
      </c>
      <c r="E296" s="27" t="s">
        <v>516</v>
      </c>
      <c r="F296" s="5" t="s">
        <v>12</v>
      </c>
      <c r="G296" s="9" t="s">
        <v>35</v>
      </c>
      <c r="H296" s="10"/>
      <c r="I296" s="10"/>
      <c r="J296" s="10"/>
      <c r="K296" s="10"/>
    </row>
    <row r="297" ht="30.0" customHeight="1">
      <c r="A297" s="4" t="s">
        <v>42</v>
      </c>
      <c r="B297" s="52" t="s">
        <v>43</v>
      </c>
      <c r="C297" s="44">
        <v>46948.76</v>
      </c>
      <c r="D297" s="7" t="str">
        <f>HYPERLINK("http://www.usrc.it/AppRendiConta/det_384_20190619.pdf","Determina 384 del 19/06/2019")</f>
        <v>Determina 384 del 19/06/2019</v>
      </c>
      <c r="E297" s="27" t="s">
        <v>517</v>
      </c>
      <c r="F297" s="5" t="s">
        <v>12</v>
      </c>
      <c r="G297" s="9" t="s">
        <v>21</v>
      </c>
      <c r="H297" s="10"/>
      <c r="I297" s="10"/>
      <c r="J297" s="10"/>
      <c r="K297" s="10"/>
    </row>
    <row r="298" ht="30.0" customHeight="1">
      <c r="A298" s="4" t="s">
        <v>54</v>
      </c>
      <c r="B298" s="35" t="s">
        <v>55</v>
      </c>
      <c r="C298" s="44">
        <v>193500.0</v>
      </c>
      <c r="D298" s="7" t="str">
        <f>HYPERLINK("http://www.usrc.it/AppRendiConta/det_388_20190619.pdf","Determina 388 del 19/06/2019")</f>
        <v>Determina 388 del 19/06/2019</v>
      </c>
      <c r="E298" s="27" t="s">
        <v>518</v>
      </c>
      <c r="F298" s="5" t="s">
        <v>12</v>
      </c>
      <c r="G298" s="9" t="s">
        <v>25</v>
      </c>
      <c r="H298" s="10"/>
      <c r="I298" s="10"/>
      <c r="J298" s="10"/>
      <c r="K298" s="10"/>
    </row>
    <row r="299" ht="30.0" customHeight="1">
      <c r="A299" s="4" t="s">
        <v>63</v>
      </c>
      <c r="B299" s="35" t="s">
        <v>64</v>
      </c>
      <c r="C299" s="44">
        <v>151872.85</v>
      </c>
      <c r="D299" s="7" t="str">
        <f>HYPERLINK("http://www.usrc.it/AppRendiConta/det_389_20190619.pdf","Determina 389 del 19/06/2019")</f>
        <v>Determina 389 del 19/06/2019</v>
      </c>
      <c r="E299" s="27" t="s">
        <v>519</v>
      </c>
      <c r="F299" s="5" t="s">
        <v>12</v>
      </c>
      <c r="G299" s="9" t="s">
        <v>25</v>
      </c>
      <c r="H299" s="10"/>
      <c r="I299" s="10"/>
      <c r="J299" s="10"/>
      <c r="K299" s="10"/>
    </row>
    <row r="300" ht="30.0" customHeight="1">
      <c r="A300" s="4" t="s">
        <v>298</v>
      </c>
      <c r="B300" s="35" t="s">
        <v>299</v>
      </c>
      <c r="C300" s="44">
        <v>354662.0</v>
      </c>
      <c r="D300" s="7" t="str">
        <f>HYPERLINK("http://www.usrc.it/AppRendiConta/det_393_20190621.pdf","Determina 393 del 21/06/2019")</f>
        <v>Determina 393 del 21/06/2019</v>
      </c>
      <c r="E300" s="27" t="s">
        <v>520</v>
      </c>
      <c r="F300" s="5" t="s">
        <v>12</v>
      </c>
      <c r="G300" s="9" t="s">
        <v>25</v>
      </c>
      <c r="H300" s="10"/>
      <c r="I300" s="10"/>
      <c r="J300" s="10"/>
      <c r="K300" s="10"/>
    </row>
    <row r="301" ht="30.0" customHeight="1">
      <c r="A301" s="53" t="s">
        <v>298</v>
      </c>
      <c r="B301" s="35" t="s">
        <v>299</v>
      </c>
      <c r="C301" s="44">
        <v>211989.62</v>
      </c>
      <c r="D301" s="7" t="str">
        <f>HYPERLINK("http://www.usrc.it/AppRendiConta/det_395_20190621.pdf","Determina 395 del 21/06/2019")</f>
        <v>Determina 395 del 21/06/2019</v>
      </c>
      <c r="E301" s="27" t="s">
        <v>521</v>
      </c>
      <c r="F301" s="5" t="s">
        <v>12</v>
      </c>
      <c r="G301" s="9" t="s">
        <v>25</v>
      </c>
      <c r="H301" s="10"/>
      <c r="I301" s="10"/>
      <c r="J301" s="10"/>
      <c r="K301" s="10"/>
    </row>
    <row r="302" ht="30.0" customHeight="1">
      <c r="A302" s="4" t="s">
        <v>522</v>
      </c>
      <c r="B302" s="35" t="s">
        <v>523</v>
      </c>
      <c r="C302" s="44">
        <v>45182.3</v>
      </c>
      <c r="D302" s="7" t="str">
        <f>HYPERLINK("http://www.usrc.it/AppRendiConta/det_396_20190621.pdf","Determina 396 del 21/06/2019")</f>
        <v>Determina 396 del 21/06/2019</v>
      </c>
      <c r="E302" s="27" t="s">
        <v>524</v>
      </c>
      <c r="F302" s="5" t="s">
        <v>12</v>
      </c>
      <c r="G302" s="9" t="s">
        <v>25</v>
      </c>
      <c r="H302" s="10"/>
      <c r="I302" s="10"/>
      <c r="J302" s="10"/>
      <c r="K302" s="10"/>
    </row>
    <row r="303" ht="30.0" customHeight="1">
      <c r="A303" s="4" t="s">
        <v>525</v>
      </c>
      <c r="B303" s="35" t="s">
        <v>526</v>
      </c>
      <c r="C303" s="44">
        <v>233828.66</v>
      </c>
      <c r="D303" s="7" t="str">
        <f>HYPERLINK("http://www.usrc.it/AppRendiConta/det_398_20190621.pdf","Determina 398 del 21/06/2019")</f>
        <v>Determina 398 del 21/06/2019</v>
      </c>
      <c r="E303" s="27" t="s">
        <v>527</v>
      </c>
      <c r="F303" s="5" t="s">
        <v>12</v>
      </c>
      <c r="G303" s="9" t="s">
        <v>25</v>
      </c>
      <c r="H303" s="10"/>
      <c r="I303" s="10"/>
      <c r="J303" s="10"/>
      <c r="K303" s="10"/>
    </row>
    <row r="304" ht="30.0" customHeight="1">
      <c r="A304" s="4" t="s">
        <v>60</v>
      </c>
      <c r="B304" s="35" t="s">
        <v>61</v>
      </c>
      <c r="C304" s="44">
        <v>43510.13</v>
      </c>
      <c r="D304" s="7" t="str">
        <f>HYPERLINK("http://www.usrc.it/AppRendiConta/det_407_20190701.pdf","Determina 407 del 01/07/2019")</f>
        <v>Determina 407 del 01/07/2019</v>
      </c>
      <c r="E304" s="27" t="s">
        <v>528</v>
      </c>
      <c r="F304" s="5" t="s">
        <v>12</v>
      </c>
      <c r="G304" s="9" t="s">
        <v>507</v>
      </c>
      <c r="H304" s="10"/>
      <c r="I304" s="10"/>
      <c r="J304" s="10"/>
      <c r="K304" s="10"/>
    </row>
    <row r="305" ht="30.0" customHeight="1">
      <c r="A305" s="4" t="s">
        <v>188</v>
      </c>
      <c r="B305" s="35" t="s">
        <v>189</v>
      </c>
      <c r="C305" s="44">
        <v>3466920.53</v>
      </c>
      <c r="D305" s="7" t="str">
        <f>HYPERLINK("http://www.usrc.it/AppRendiConta/det_408_20190701.pdf","Determina 408 del 01/07/2019")</f>
        <v>Determina 408 del 01/07/2019</v>
      </c>
      <c r="E305" s="27" t="s">
        <v>529</v>
      </c>
      <c r="F305" s="5" t="s">
        <v>12</v>
      </c>
      <c r="G305" s="9" t="s">
        <v>479</v>
      </c>
      <c r="H305" s="10"/>
      <c r="I305" s="10"/>
      <c r="J305" s="10"/>
      <c r="K305" s="10"/>
    </row>
    <row r="306" ht="30.0" customHeight="1">
      <c r="A306" s="4" t="s">
        <v>530</v>
      </c>
      <c r="B306" s="35" t="s">
        <v>531</v>
      </c>
      <c r="C306" s="44">
        <v>23270.67</v>
      </c>
      <c r="D306" s="7" t="str">
        <f>HYPERLINK("http://www.usrc.it/AppRendiConta/det_411_20190701.pdf","Determina 411 del 01/07/2019")</f>
        <v>Determina 411 del 01/07/2019</v>
      </c>
      <c r="E306" s="27" t="s">
        <v>532</v>
      </c>
      <c r="F306" s="5" t="s">
        <v>12</v>
      </c>
      <c r="G306" s="9" t="s">
        <v>507</v>
      </c>
      <c r="H306" s="10"/>
      <c r="I306" s="10"/>
      <c r="J306" s="10"/>
      <c r="K306" s="10"/>
    </row>
    <row r="307" ht="30.0" customHeight="1">
      <c r="A307" s="4" t="s">
        <v>42</v>
      </c>
      <c r="B307" s="35" t="s">
        <v>43</v>
      </c>
      <c r="C307" s="44">
        <v>16600.0</v>
      </c>
      <c r="D307" s="7" t="str">
        <f>HYPERLINK("http://www.usrc.it/AppRendiConta/det_413_20190702.pdf","Determina 413 del 02/07/2019")</f>
        <v>Determina 413 del 02/07/2019</v>
      </c>
      <c r="E307" s="27" t="s">
        <v>533</v>
      </c>
      <c r="F307" s="9" t="s">
        <v>12</v>
      </c>
      <c r="G307" s="9" t="s">
        <v>21</v>
      </c>
      <c r="H307" s="10"/>
      <c r="I307" s="10"/>
      <c r="J307" s="10"/>
      <c r="K307" s="10"/>
    </row>
    <row r="308" ht="30.0" customHeight="1">
      <c r="A308" s="4" t="s">
        <v>158</v>
      </c>
      <c r="B308" s="35" t="s">
        <v>159</v>
      </c>
      <c r="C308" s="44">
        <v>32803.65</v>
      </c>
      <c r="D308" s="7" t="str">
        <f>HYPERLINK("http://www.usrc.it/AppRendiConta/det_414_20190702.pdf","Determina 414 del 02/07/2019")</f>
        <v>Determina 414 del 02/07/2019</v>
      </c>
      <c r="E308" s="27" t="s">
        <v>534</v>
      </c>
      <c r="F308" s="9" t="s">
        <v>12</v>
      </c>
      <c r="G308" s="9" t="s">
        <v>21</v>
      </c>
      <c r="H308" s="10"/>
      <c r="I308" s="10"/>
      <c r="J308" s="10"/>
      <c r="K308" s="10"/>
    </row>
    <row r="309" ht="30.0" customHeight="1">
      <c r="A309" s="4" t="s">
        <v>22</v>
      </c>
      <c r="B309" s="35" t="s">
        <v>23</v>
      </c>
      <c r="C309" s="44">
        <v>31711.29</v>
      </c>
      <c r="D309" s="7" t="str">
        <f t="shared" ref="D309:D310" si="20">HYPERLINK("http://www.usrc.it/AppRendiConta/det_415_20190702.pdf","Determina 415 del 02/07/2019")</f>
        <v>Determina 415 del 02/07/2019</v>
      </c>
      <c r="E309" s="27" t="s">
        <v>535</v>
      </c>
      <c r="F309" s="9" t="s">
        <v>12</v>
      </c>
      <c r="G309" s="9" t="s">
        <v>506</v>
      </c>
      <c r="H309" s="10"/>
      <c r="I309" s="10"/>
      <c r="J309" s="10"/>
      <c r="K309" s="10"/>
    </row>
    <row r="310" ht="30.0" customHeight="1">
      <c r="A310" s="4" t="s">
        <v>22</v>
      </c>
      <c r="B310" s="35" t="s">
        <v>23</v>
      </c>
      <c r="C310" s="44">
        <v>130040.19</v>
      </c>
      <c r="D310" s="7" t="str">
        <f t="shared" si="20"/>
        <v>Determina 415 del 02/07/2019</v>
      </c>
      <c r="E310" s="27" t="s">
        <v>535</v>
      </c>
      <c r="F310" s="9" t="s">
        <v>12</v>
      </c>
      <c r="G310" s="9" t="s">
        <v>507</v>
      </c>
      <c r="H310" s="10"/>
      <c r="I310" s="10"/>
      <c r="J310" s="10"/>
      <c r="K310" s="10"/>
    </row>
    <row r="311" ht="30.0" customHeight="1">
      <c r="A311" s="4" t="s">
        <v>536</v>
      </c>
      <c r="B311" s="35" t="s">
        <v>537</v>
      </c>
      <c r="C311" s="44">
        <v>405840.23</v>
      </c>
      <c r="D311" s="7" t="str">
        <f>HYPERLINK("http://www.usrc.it/AppRendiConta/det_416_20190702.pdf","Determina 416 del 02/07/2019")</f>
        <v>Determina 416 del 02/07/2019</v>
      </c>
      <c r="E311" s="27" t="s">
        <v>538</v>
      </c>
      <c r="F311" s="9" t="s">
        <v>12</v>
      </c>
      <c r="G311" s="9" t="s">
        <v>507</v>
      </c>
      <c r="H311" s="10"/>
      <c r="I311" s="10"/>
      <c r="J311" s="10"/>
      <c r="K311" s="10"/>
    </row>
    <row r="312" ht="30.0" customHeight="1">
      <c r="A312" s="4" t="s">
        <v>282</v>
      </c>
      <c r="B312" s="35" t="s">
        <v>283</v>
      </c>
      <c r="C312" s="44">
        <v>270683.07</v>
      </c>
      <c r="D312" s="7" t="str">
        <f>HYPERLINK("http://www.usrc.it/AppRendiConta/det_417_20190702.pdf","Determina 417 del 02/07/2019")</f>
        <v>Determina 417 del 02/07/2019</v>
      </c>
      <c r="E312" s="27" t="s">
        <v>284</v>
      </c>
      <c r="F312" s="9" t="s">
        <v>12</v>
      </c>
      <c r="G312" s="9" t="s">
        <v>506</v>
      </c>
      <c r="H312" s="10"/>
      <c r="I312" s="10"/>
      <c r="J312" s="10"/>
      <c r="K312" s="10"/>
    </row>
    <row r="313" ht="30.0" customHeight="1">
      <c r="A313" s="4" t="s">
        <v>18</v>
      </c>
      <c r="B313" s="35" t="s">
        <v>19</v>
      </c>
      <c r="C313" s="44">
        <v>4147.2</v>
      </c>
      <c r="D313" s="7" t="str">
        <f t="shared" ref="D313:D335" si="21">HYPERLINK("http://www.usrc.it/AppRendiConta/det_428_20190703.pdf","Determina 428 del 03/07/2019")</f>
        <v>Determina 428 del 03/07/2019</v>
      </c>
      <c r="E313" s="27" t="s">
        <v>539</v>
      </c>
      <c r="F313" s="9" t="s">
        <v>12</v>
      </c>
      <c r="G313" s="9" t="s">
        <v>374</v>
      </c>
      <c r="H313" s="10"/>
      <c r="I313" s="10"/>
      <c r="J313" s="10"/>
      <c r="K313" s="10"/>
    </row>
    <row r="314" ht="30.0" customHeight="1">
      <c r="A314" s="4" t="s">
        <v>69</v>
      </c>
      <c r="B314" s="35" t="s">
        <v>70</v>
      </c>
      <c r="C314" s="44">
        <v>22545.2</v>
      </c>
      <c r="D314" s="7" t="str">
        <f t="shared" si="21"/>
        <v>Determina 428 del 03/07/2019</v>
      </c>
      <c r="E314" s="27" t="s">
        <v>540</v>
      </c>
      <c r="F314" s="9" t="s">
        <v>12</v>
      </c>
      <c r="G314" s="9" t="s">
        <v>374</v>
      </c>
      <c r="H314" s="10"/>
      <c r="I314" s="10"/>
      <c r="J314" s="10"/>
      <c r="K314" s="10"/>
    </row>
    <row r="315" ht="30.0" customHeight="1">
      <c r="A315" s="4" t="s">
        <v>302</v>
      </c>
      <c r="B315" s="35" t="s">
        <v>303</v>
      </c>
      <c r="C315" s="44">
        <v>622.2</v>
      </c>
      <c r="D315" s="7" t="str">
        <f t="shared" si="21"/>
        <v>Determina 428 del 03/07/2019</v>
      </c>
      <c r="E315" s="27" t="s">
        <v>329</v>
      </c>
      <c r="F315" s="9" t="s">
        <v>12</v>
      </c>
      <c r="G315" s="9" t="s">
        <v>374</v>
      </c>
      <c r="H315" s="10"/>
      <c r="I315" s="10"/>
      <c r="J315" s="10"/>
      <c r="K315" s="10"/>
    </row>
    <row r="316" ht="30.0" customHeight="1">
      <c r="A316" s="4" t="s">
        <v>98</v>
      </c>
      <c r="B316" s="35" t="s">
        <v>99</v>
      </c>
      <c r="C316" s="44">
        <v>4880.0</v>
      </c>
      <c r="D316" s="7" t="str">
        <f t="shared" si="21"/>
        <v>Determina 428 del 03/07/2019</v>
      </c>
      <c r="E316" s="27" t="s">
        <v>331</v>
      </c>
      <c r="F316" s="9" t="s">
        <v>12</v>
      </c>
      <c r="G316" s="9" t="s">
        <v>374</v>
      </c>
      <c r="H316" s="10"/>
      <c r="I316" s="10"/>
      <c r="J316" s="10"/>
      <c r="K316" s="10"/>
    </row>
    <row r="317" ht="30.0" customHeight="1">
      <c r="A317" s="4" t="s">
        <v>158</v>
      </c>
      <c r="B317" s="35" t="s">
        <v>159</v>
      </c>
      <c r="C317" s="44">
        <v>35299.48</v>
      </c>
      <c r="D317" s="7" t="str">
        <f t="shared" si="21"/>
        <v>Determina 428 del 03/07/2019</v>
      </c>
      <c r="E317" s="27" t="s">
        <v>541</v>
      </c>
      <c r="F317" s="9" t="s">
        <v>12</v>
      </c>
      <c r="G317" s="9" t="s">
        <v>374</v>
      </c>
      <c r="H317" s="10"/>
      <c r="I317" s="10"/>
      <c r="J317" s="10"/>
      <c r="K317" s="10"/>
    </row>
    <row r="318" ht="30.0" customHeight="1">
      <c r="A318" s="4" t="s">
        <v>78</v>
      </c>
      <c r="B318" s="35" t="s">
        <v>79</v>
      </c>
      <c r="C318" s="44">
        <v>1000.0</v>
      </c>
      <c r="D318" s="7" t="str">
        <f t="shared" si="21"/>
        <v>Determina 428 del 03/07/2019</v>
      </c>
      <c r="E318" s="27" t="s">
        <v>333</v>
      </c>
      <c r="F318" s="9" t="s">
        <v>12</v>
      </c>
      <c r="G318" s="9" t="s">
        <v>374</v>
      </c>
      <c r="H318" s="10"/>
      <c r="I318" s="10"/>
      <c r="J318" s="10"/>
      <c r="K318" s="10"/>
    </row>
    <row r="319" ht="30.0" customHeight="1">
      <c r="A319" s="4" t="s">
        <v>167</v>
      </c>
      <c r="B319" s="35" t="s">
        <v>168</v>
      </c>
      <c r="C319" s="44">
        <v>178685.32</v>
      </c>
      <c r="D319" s="7" t="str">
        <f t="shared" si="21"/>
        <v>Determina 428 del 03/07/2019</v>
      </c>
      <c r="E319" s="27" t="s">
        <v>334</v>
      </c>
      <c r="F319" s="9" t="s">
        <v>12</v>
      </c>
      <c r="G319" s="9" t="s">
        <v>374</v>
      </c>
      <c r="H319" s="10"/>
      <c r="I319" s="10"/>
      <c r="J319" s="10"/>
      <c r="K319" s="10"/>
    </row>
    <row r="320" ht="30.0" customHeight="1">
      <c r="A320" s="4" t="s">
        <v>220</v>
      </c>
      <c r="B320" s="35" t="s">
        <v>221</v>
      </c>
      <c r="C320" s="44">
        <v>9035.0</v>
      </c>
      <c r="D320" s="7" t="str">
        <f t="shared" si="21"/>
        <v>Determina 428 del 03/07/2019</v>
      </c>
      <c r="E320" s="27" t="s">
        <v>335</v>
      </c>
      <c r="F320" s="9" t="s">
        <v>12</v>
      </c>
      <c r="G320" s="9" t="s">
        <v>374</v>
      </c>
      <c r="H320" s="10"/>
      <c r="I320" s="10"/>
      <c r="J320" s="10"/>
      <c r="K320" s="10"/>
    </row>
    <row r="321" ht="30.0" customHeight="1">
      <c r="A321" s="4" t="s">
        <v>228</v>
      </c>
      <c r="B321" s="35" t="s">
        <v>229</v>
      </c>
      <c r="C321" s="44">
        <v>1060.0</v>
      </c>
      <c r="D321" s="7" t="str">
        <f t="shared" si="21"/>
        <v>Determina 428 del 03/07/2019</v>
      </c>
      <c r="E321" s="27" t="s">
        <v>542</v>
      </c>
      <c r="F321" s="9" t="s">
        <v>12</v>
      </c>
      <c r="G321" s="9" t="s">
        <v>374</v>
      </c>
      <c r="H321" s="10"/>
      <c r="I321" s="10"/>
      <c r="J321" s="10"/>
      <c r="K321" s="10"/>
    </row>
    <row r="322" ht="30.0" customHeight="1">
      <c r="A322" s="4" t="s">
        <v>75</v>
      </c>
      <c r="B322" s="35" t="s">
        <v>76</v>
      </c>
      <c r="C322" s="44">
        <v>11870.6</v>
      </c>
      <c r="D322" s="7" t="str">
        <f t="shared" si="21"/>
        <v>Determina 428 del 03/07/2019</v>
      </c>
      <c r="E322" s="27" t="s">
        <v>336</v>
      </c>
      <c r="F322" s="9" t="s">
        <v>12</v>
      </c>
      <c r="G322" s="9" t="s">
        <v>374</v>
      </c>
      <c r="H322" s="10"/>
      <c r="I322" s="10"/>
      <c r="J322" s="10"/>
      <c r="K322" s="10"/>
    </row>
    <row r="323" ht="30.0" customHeight="1">
      <c r="A323" s="4" t="s">
        <v>29</v>
      </c>
      <c r="B323" s="35" t="s">
        <v>30</v>
      </c>
      <c r="C323" s="44">
        <v>15639.4</v>
      </c>
      <c r="D323" s="7" t="str">
        <f t="shared" si="21"/>
        <v>Determina 428 del 03/07/2019</v>
      </c>
      <c r="E323" s="27" t="s">
        <v>543</v>
      </c>
      <c r="F323" s="9" t="s">
        <v>12</v>
      </c>
      <c r="G323" s="9" t="s">
        <v>374</v>
      </c>
      <c r="H323" s="10"/>
      <c r="I323" s="10"/>
      <c r="J323" s="10"/>
      <c r="K323" s="10"/>
    </row>
    <row r="324" ht="30.0" customHeight="1">
      <c r="A324" s="4" t="s">
        <v>72</v>
      </c>
      <c r="B324" s="35" t="s">
        <v>73</v>
      </c>
      <c r="C324" s="44">
        <v>183.0</v>
      </c>
      <c r="D324" s="7" t="str">
        <f t="shared" si="21"/>
        <v>Determina 428 del 03/07/2019</v>
      </c>
      <c r="E324" s="27" t="s">
        <v>332</v>
      </c>
      <c r="F324" s="9" t="s">
        <v>12</v>
      </c>
      <c r="G324" s="9" t="s">
        <v>374</v>
      </c>
      <c r="H324" s="10"/>
      <c r="I324" s="10"/>
      <c r="J324" s="10"/>
      <c r="K324" s="10"/>
    </row>
    <row r="325" ht="30.0" customHeight="1">
      <c r="A325" s="4" t="s">
        <v>234</v>
      </c>
      <c r="B325" s="35" t="s">
        <v>235</v>
      </c>
      <c r="C325" s="44">
        <v>951.6</v>
      </c>
      <c r="D325" s="7" t="str">
        <f t="shared" si="21"/>
        <v>Determina 428 del 03/07/2019</v>
      </c>
      <c r="E325" s="27" t="s">
        <v>544</v>
      </c>
      <c r="F325" s="9" t="s">
        <v>12</v>
      </c>
      <c r="G325" s="9" t="s">
        <v>374</v>
      </c>
      <c r="H325" s="10"/>
      <c r="I325" s="10"/>
      <c r="J325" s="10"/>
      <c r="K325" s="10"/>
    </row>
    <row r="326" ht="30.0" customHeight="1">
      <c r="A326" s="4" t="s">
        <v>545</v>
      </c>
      <c r="B326" s="35" t="s">
        <v>546</v>
      </c>
      <c r="C326" s="44">
        <v>35280.4</v>
      </c>
      <c r="D326" s="7" t="str">
        <f t="shared" si="21"/>
        <v>Determina 428 del 03/07/2019</v>
      </c>
      <c r="E326" s="27" t="s">
        <v>547</v>
      </c>
      <c r="F326" s="9" t="s">
        <v>12</v>
      </c>
      <c r="G326" s="9" t="s">
        <v>374</v>
      </c>
      <c r="H326" s="10"/>
      <c r="I326" s="10"/>
      <c r="J326" s="10"/>
      <c r="K326" s="10"/>
    </row>
    <row r="327" ht="30.0" customHeight="1">
      <c r="A327" s="4" t="s">
        <v>90</v>
      </c>
      <c r="B327" s="35" t="s">
        <v>91</v>
      </c>
      <c r="C327" s="44">
        <v>4500.0</v>
      </c>
      <c r="D327" s="7" t="str">
        <f t="shared" si="21"/>
        <v>Determina 428 del 03/07/2019</v>
      </c>
      <c r="E327" s="27" t="s">
        <v>548</v>
      </c>
      <c r="F327" s="9" t="s">
        <v>12</v>
      </c>
      <c r="G327" s="9" t="s">
        <v>374</v>
      </c>
      <c r="H327" s="10"/>
      <c r="I327" s="10"/>
      <c r="J327" s="10"/>
      <c r="K327" s="10"/>
    </row>
    <row r="328" ht="30.0" customHeight="1">
      <c r="A328" s="4" t="s">
        <v>39</v>
      </c>
      <c r="B328" s="35" t="s">
        <v>40</v>
      </c>
      <c r="C328" s="44">
        <v>3152.0</v>
      </c>
      <c r="D328" s="7" t="str">
        <f t="shared" si="21"/>
        <v>Determina 428 del 03/07/2019</v>
      </c>
      <c r="E328" s="27" t="s">
        <v>549</v>
      </c>
      <c r="F328" s="9" t="s">
        <v>12</v>
      </c>
      <c r="G328" s="9" t="s">
        <v>374</v>
      </c>
      <c r="H328" s="10"/>
      <c r="I328" s="10"/>
      <c r="J328" s="10"/>
      <c r="K328" s="10"/>
    </row>
    <row r="329" ht="30.0" customHeight="1">
      <c r="A329" s="4" t="s">
        <v>72</v>
      </c>
      <c r="B329" s="35" t="s">
        <v>73</v>
      </c>
      <c r="C329" s="44">
        <v>427.0</v>
      </c>
      <c r="D329" s="7" t="str">
        <f t="shared" si="21"/>
        <v>Determina 428 del 03/07/2019</v>
      </c>
      <c r="E329" s="27" t="s">
        <v>544</v>
      </c>
      <c r="F329" s="9" t="s">
        <v>12</v>
      </c>
      <c r="G329" s="9" t="s">
        <v>374</v>
      </c>
      <c r="H329" s="10"/>
      <c r="I329" s="10"/>
      <c r="J329" s="10"/>
      <c r="K329" s="10"/>
    </row>
    <row r="330" ht="30.0" customHeight="1">
      <c r="A330" s="4" t="s">
        <v>138</v>
      </c>
      <c r="B330" s="35" t="s">
        <v>139</v>
      </c>
      <c r="C330" s="44">
        <v>5551.0</v>
      </c>
      <c r="D330" s="7" t="str">
        <f t="shared" si="21"/>
        <v>Determina 428 del 03/07/2019</v>
      </c>
      <c r="E330" s="27" t="s">
        <v>236</v>
      </c>
      <c r="F330" s="9" t="s">
        <v>12</v>
      </c>
      <c r="G330" s="9" t="s">
        <v>374</v>
      </c>
      <c r="H330" s="10"/>
      <c r="I330" s="10"/>
      <c r="J330" s="10"/>
      <c r="K330" s="10"/>
    </row>
    <row r="331" ht="30.0" customHeight="1">
      <c r="A331" s="4" t="s">
        <v>201</v>
      </c>
      <c r="B331" s="35" t="s">
        <v>202</v>
      </c>
      <c r="C331" s="44">
        <v>3019.5</v>
      </c>
      <c r="D331" s="7" t="str">
        <f t="shared" si="21"/>
        <v>Determina 428 del 03/07/2019</v>
      </c>
      <c r="E331" s="27" t="s">
        <v>337</v>
      </c>
      <c r="F331" s="9" t="s">
        <v>12</v>
      </c>
      <c r="G331" s="9" t="s">
        <v>374</v>
      </c>
      <c r="H331" s="10"/>
      <c r="I331" s="10"/>
      <c r="J331" s="10"/>
      <c r="K331" s="10"/>
    </row>
    <row r="332" ht="30.0" customHeight="1">
      <c r="A332" s="4" t="s">
        <v>228</v>
      </c>
      <c r="B332" s="35" t="s">
        <v>229</v>
      </c>
      <c r="C332" s="44">
        <v>450.0</v>
      </c>
      <c r="D332" s="7" t="str">
        <f t="shared" si="21"/>
        <v>Determina 428 del 03/07/2019</v>
      </c>
      <c r="E332" s="27" t="s">
        <v>550</v>
      </c>
      <c r="F332" s="9" t="s">
        <v>12</v>
      </c>
      <c r="G332" s="9" t="s">
        <v>374</v>
      </c>
      <c r="H332" s="10"/>
      <c r="I332" s="10"/>
      <c r="J332" s="10"/>
      <c r="K332" s="10"/>
    </row>
    <row r="333" ht="30.0" customHeight="1">
      <c r="A333" s="4" t="s">
        <v>167</v>
      </c>
      <c r="B333" s="35" t="s">
        <v>168</v>
      </c>
      <c r="C333" s="44">
        <v>37189.86</v>
      </c>
      <c r="D333" s="7" t="str">
        <f t="shared" si="21"/>
        <v>Determina 428 del 03/07/2019</v>
      </c>
      <c r="E333" s="27" t="s">
        <v>551</v>
      </c>
      <c r="F333" s="9" t="s">
        <v>12</v>
      </c>
      <c r="G333" s="9" t="s">
        <v>374</v>
      </c>
      <c r="H333" s="10"/>
      <c r="I333" s="10"/>
      <c r="J333" s="10"/>
      <c r="K333" s="10"/>
    </row>
    <row r="334" ht="30.0" customHeight="1">
      <c r="A334" s="4" t="s">
        <v>238</v>
      </c>
      <c r="B334" s="35" t="s">
        <v>239</v>
      </c>
      <c r="C334" s="44">
        <v>26612.01</v>
      </c>
      <c r="D334" s="7" t="str">
        <f t="shared" si="21"/>
        <v>Determina 428 del 03/07/2019</v>
      </c>
      <c r="E334" s="27" t="s">
        <v>552</v>
      </c>
      <c r="F334" s="9" t="s">
        <v>12</v>
      </c>
      <c r="G334" s="9" t="s">
        <v>374</v>
      </c>
      <c r="H334" s="10"/>
      <c r="I334" s="10"/>
      <c r="J334" s="10"/>
      <c r="K334" s="10"/>
    </row>
    <row r="335" ht="30.0" customHeight="1">
      <c r="A335" s="4" t="s">
        <v>102</v>
      </c>
      <c r="B335" s="35" t="s">
        <v>103</v>
      </c>
      <c r="C335" s="44">
        <v>5002.0</v>
      </c>
      <c r="D335" s="7" t="str">
        <f t="shared" si="21"/>
        <v>Determina 428 del 03/07/2019</v>
      </c>
      <c r="E335" s="27" t="s">
        <v>553</v>
      </c>
      <c r="F335" s="9" t="s">
        <v>12</v>
      </c>
      <c r="G335" s="9" t="s">
        <v>374</v>
      </c>
      <c r="H335" s="10"/>
      <c r="I335" s="10"/>
      <c r="J335" s="10"/>
      <c r="K335" s="10"/>
    </row>
    <row r="336" ht="30.0" customHeight="1">
      <c r="A336" s="4" t="s">
        <v>217</v>
      </c>
      <c r="B336" s="35" t="s">
        <v>218</v>
      </c>
      <c r="C336" s="44">
        <v>9150.0</v>
      </c>
      <c r="D336" s="7" t="str">
        <f t="shared" ref="D336:D338" si="22">HYPERLINK("http://www.usrc.it/AppRendiConta/det_429_20190703.pdf","Determina 429 del 03/07/2019")</f>
        <v>Determina 429 del 03/07/2019</v>
      </c>
      <c r="E336" s="27" t="s">
        <v>554</v>
      </c>
      <c r="F336" s="9" t="s">
        <v>12</v>
      </c>
      <c r="G336" s="9" t="s">
        <v>374</v>
      </c>
      <c r="H336" s="10"/>
      <c r="I336" s="10"/>
      <c r="J336" s="10"/>
      <c r="K336" s="10"/>
    </row>
    <row r="337" ht="30.0" customHeight="1">
      <c r="A337" s="4" t="s">
        <v>316</v>
      </c>
      <c r="B337" s="35" t="s">
        <v>317</v>
      </c>
      <c r="C337" s="44">
        <v>5000.0</v>
      </c>
      <c r="D337" s="7" t="str">
        <f t="shared" si="22"/>
        <v>Determina 429 del 03/07/2019</v>
      </c>
      <c r="E337" s="27" t="s">
        <v>549</v>
      </c>
      <c r="F337" s="9" t="s">
        <v>12</v>
      </c>
      <c r="G337" s="9" t="s">
        <v>374</v>
      </c>
      <c r="H337" s="10"/>
      <c r="I337" s="10"/>
      <c r="J337" s="10"/>
      <c r="K337" s="10"/>
    </row>
    <row r="338" ht="30.0" customHeight="1">
      <c r="A338" s="4" t="s">
        <v>555</v>
      </c>
      <c r="B338" s="35" t="s">
        <v>556</v>
      </c>
      <c r="C338" s="44">
        <v>5245.07</v>
      </c>
      <c r="D338" s="7" t="str">
        <f t="shared" si="22"/>
        <v>Determina 429 del 03/07/2019</v>
      </c>
      <c r="E338" s="27" t="s">
        <v>231</v>
      </c>
      <c r="F338" s="9" t="s">
        <v>12</v>
      </c>
      <c r="G338" s="9" t="s">
        <v>374</v>
      </c>
      <c r="H338" s="10"/>
      <c r="I338" s="10"/>
      <c r="J338" s="10"/>
      <c r="K338" s="10"/>
    </row>
    <row r="339" ht="30.0" customHeight="1">
      <c r="A339" s="4" t="s">
        <v>130</v>
      </c>
      <c r="B339" s="35" t="s">
        <v>131</v>
      </c>
      <c r="C339" s="44">
        <v>2307378.73</v>
      </c>
      <c r="D339" s="7" t="str">
        <f>HYPERLINK("http://www.usrc.it/AppRendiConta/det_430_20190705.pdf","Determina 430 del 05/07/2019")</f>
        <v>Determina 430 del 05/07/2019</v>
      </c>
      <c r="E339" s="27" t="s">
        <v>557</v>
      </c>
      <c r="F339" s="13" t="s">
        <v>12</v>
      </c>
      <c r="G339" s="18" t="s">
        <v>479</v>
      </c>
      <c r="H339" s="10"/>
      <c r="I339" s="10"/>
      <c r="J339" s="10"/>
      <c r="K339" s="10"/>
    </row>
    <row r="340" ht="30.0" customHeight="1">
      <c r="A340" s="4" t="s">
        <v>69</v>
      </c>
      <c r="B340" s="35" t="s">
        <v>70</v>
      </c>
      <c r="C340" s="44">
        <v>4993149.81</v>
      </c>
      <c r="D340" s="7" t="str">
        <f>HYPERLINK("http://www.usrc.it/AppRendiConta/det_431_20190705.pdf","Determina 431 del 05/07/2019")</f>
        <v>Determina 431 del 05/07/2019</v>
      </c>
      <c r="E340" s="27" t="s">
        <v>558</v>
      </c>
      <c r="F340" s="5" t="s">
        <v>12</v>
      </c>
      <c r="G340" s="4" t="s">
        <v>479</v>
      </c>
      <c r="H340" s="10"/>
      <c r="I340" s="10"/>
      <c r="J340" s="10"/>
      <c r="K340" s="10"/>
    </row>
    <row r="341" ht="30.0" customHeight="1">
      <c r="A341" s="4" t="s">
        <v>48</v>
      </c>
      <c r="B341" s="35" t="s">
        <v>49</v>
      </c>
      <c r="C341" s="44">
        <v>2264795.82</v>
      </c>
      <c r="D341" s="7" t="str">
        <f>HYPERLINK("http://www.usrc.it/AppRendiConta/det_434_20190710.pdf","Determina 434 del10/07/2019")</f>
        <v>Determina 434 del10/07/2019</v>
      </c>
      <c r="E341" s="27" t="s">
        <v>559</v>
      </c>
      <c r="F341" s="13" t="s">
        <v>12</v>
      </c>
      <c r="G341" s="18" t="s">
        <v>479</v>
      </c>
      <c r="H341" s="10"/>
      <c r="I341" s="10"/>
      <c r="J341" s="10"/>
      <c r="K341" s="10"/>
    </row>
    <row r="342" ht="30.0" customHeight="1">
      <c r="A342" s="4" t="s">
        <v>72</v>
      </c>
      <c r="B342" s="35" t="s">
        <v>73</v>
      </c>
      <c r="C342" s="44">
        <v>122692.15</v>
      </c>
      <c r="D342" s="7" t="str">
        <f>HYPERLINK("http://www.usrc.it/AppRendiConta/det_436_20190711.pdf","Determina 436 del 11/07/2019")</f>
        <v>Determina 436 del 11/07/2019</v>
      </c>
      <c r="E342" s="27" t="s">
        <v>560</v>
      </c>
      <c r="F342" s="5" t="s">
        <v>12</v>
      </c>
      <c r="G342" s="9" t="s">
        <v>21</v>
      </c>
      <c r="H342" s="10"/>
      <c r="I342" s="10"/>
      <c r="J342" s="10"/>
      <c r="K342" s="10"/>
    </row>
    <row r="343" ht="30.0" customHeight="1">
      <c r="A343" s="4" t="s">
        <v>75</v>
      </c>
      <c r="B343" s="35" t="s">
        <v>76</v>
      </c>
      <c r="C343" s="44">
        <v>1157705.95</v>
      </c>
      <c r="D343" s="7" t="str">
        <f>HYPERLINK("http://www.usrc.it/AppRendiConta/det_441_20190716.pdf","Determina 441 del 16/07/2019")</f>
        <v>Determina 441 del 16/07/2019</v>
      </c>
      <c r="E343" s="27" t="s">
        <v>561</v>
      </c>
      <c r="F343" s="13" t="s">
        <v>12</v>
      </c>
      <c r="G343" s="18" t="s">
        <v>479</v>
      </c>
      <c r="H343" s="10"/>
      <c r="I343" s="10"/>
      <c r="J343" s="10"/>
      <c r="K343" s="10"/>
    </row>
    <row r="344" ht="30.0" customHeight="1">
      <c r="A344" s="4" t="s">
        <v>220</v>
      </c>
      <c r="B344" s="35" t="s">
        <v>221</v>
      </c>
      <c r="C344" s="44">
        <v>3287728.79</v>
      </c>
      <c r="D344" s="7" t="str">
        <f>HYPERLINK("http://www.usrc.it/AppRendiConta/det_442_20190716.pdf","Determina 442 del 16/07/2019")</f>
        <v>Determina 442 del 16/07/2019</v>
      </c>
      <c r="E344" s="27" t="s">
        <v>562</v>
      </c>
      <c r="F344" s="13" t="s">
        <v>12</v>
      </c>
      <c r="G344" s="18" t="s">
        <v>479</v>
      </c>
      <c r="H344" s="10"/>
      <c r="I344" s="10"/>
      <c r="J344" s="10"/>
      <c r="K344" s="10"/>
    </row>
    <row r="345" ht="30.0" customHeight="1">
      <c r="A345" s="4" t="s">
        <v>133</v>
      </c>
      <c r="B345" s="35" t="s">
        <v>134</v>
      </c>
      <c r="C345" s="44">
        <v>741533.89</v>
      </c>
      <c r="D345" s="7" t="str">
        <f>HYPERLINK("http://www.usrc.it/AppRendiConta/det_444_20190717.pdf","Determina 444 del 17/07/2019")</f>
        <v>Determina 444 del 17/07/2019</v>
      </c>
      <c r="E345" s="27" t="s">
        <v>563</v>
      </c>
      <c r="F345" s="13" t="s">
        <v>12</v>
      </c>
      <c r="G345" s="18" t="s">
        <v>479</v>
      </c>
      <c r="H345" s="10"/>
      <c r="I345" s="10"/>
      <c r="J345" s="10"/>
      <c r="K345" s="10"/>
    </row>
    <row r="346" ht="30.0" customHeight="1">
      <c r="A346" s="4" t="s">
        <v>294</v>
      </c>
      <c r="B346" s="35" t="s">
        <v>295</v>
      </c>
      <c r="C346" s="44">
        <v>1599213.49</v>
      </c>
      <c r="D346" s="7" t="str">
        <f>HYPERLINK("http://www.usrc.it/AppRendiConta/det_446_20190719.pdf","Determina 446 del 19/07/2019")</f>
        <v>Determina 446 del 19/07/2019</v>
      </c>
      <c r="E346" s="27" t="s">
        <v>564</v>
      </c>
      <c r="F346" s="13" t="s">
        <v>12</v>
      </c>
      <c r="G346" s="18" t="s">
        <v>479</v>
      </c>
      <c r="H346" s="10"/>
      <c r="I346" s="10"/>
      <c r="J346" s="10"/>
      <c r="K346" s="10"/>
    </row>
    <row r="347" ht="30.0" customHeight="1">
      <c r="A347" s="4" t="s">
        <v>345</v>
      </c>
      <c r="B347" s="35" t="s">
        <v>346</v>
      </c>
      <c r="C347" s="44">
        <v>7908.25</v>
      </c>
      <c r="D347" s="7" t="str">
        <f>HYPERLINK("http://www.usrc.it/AppRendiConta/det_447_20190719.pdf","Determina 447 del 19/07/2019")</f>
        <v>Determina 447 del 19/07/2019</v>
      </c>
      <c r="E347" s="27" t="s">
        <v>565</v>
      </c>
      <c r="F347" s="5" t="s">
        <v>12</v>
      </c>
      <c r="G347" s="9" t="s">
        <v>101</v>
      </c>
      <c r="H347" s="10"/>
      <c r="I347" s="10"/>
      <c r="J347" s="10"/>
      <c r="K347" s="10"/>
    </row>
    <row r="348" ht="30.0" customHeight="1">
      <c r="A348" s="4" t="s">
        <v>566</v>
      </c>
      <c r="B348" s="35" t="s">
        <v>567</v>
      </c>
      <c r="C348" s="44">
        <v>77773.7</v>
      </c>
      <c r="D348" s="7" t="str">
        <f>HYPERLINK("http://www.usrc.it/AppRendiConta/det_458_20190725.pdf","Determina 458 del 25/07/2019")</f>
        <v>Determina 458 del 25/07/2019</v>
      </c>
      <c r="E348" s="27" t="s">
        <v>568</v>
      </c>
      <c r="F348" s="5" t="s">
        <v>12</v>
      </c>
      <c r="G348" s="9" t="s">
        <v>25</v>
      </c>
      <c r="H348" s="10"/>
      <c r="I348" s="10"/>
      <c r="J348" s="10"/>
      <c r="K348" s="10"/>
    </row>
    <row r="349" ht="30.0" customHeight="1">
      <c r="A349" s="4" t="s">
        <v>57</v>
      </c>
      <c r="B349" s="35" t="s">
        <v>58</v>
      </c>
      <c r="C349" s="44">
        <v>15733.33</v>
      </c>
      <c r="D349" s="7" t="str">
        <f>HYPERLINK("http://www.usrc.it/AppRendiConta/det_460_20190729.pdf","Determina 460 del 29/07/2019")</f>
        <v>Determina 460 del 29/07/2019</v>
      </c>
      <c r="E349" s="27" t="s">
        <v>569</v>
      </c>
      <c r="F349" s="5" t="s">
        <v>12</v>
      </c>
      <c r="G349" s="9" t="s">
        <v>374</v>
      </c>
      <c r="H349" s="10"/>
      <c r="I349" s="10"/>
      <c r="J349" s="10"/>
      <c r="K349" s="10"/>
    </row>
    <row r="350" ht="30.0" customHeight="1">
      <c r="A350" s="4" t="s">
        <v>270</v>
      </c>
      <c r="B350" s="35" t="s">
        <v>271</v>
      </c>
      <c r="C350" s="44">
        <v>1573246.05</v>
      </c>
      <c r="D350" s="7" t="str">
        <f>HYPERLINK("http://www.usrc.it/AppRendiConta/det_463_20190729.pdf","Determina 463 del 29/07/2019")</f>
        <v>Determina 463 del 29/07/2019</v>
      </c>
      <c r="E350" s="27" t="s">
        <v>570</v>
      </c>
      <c r="F350" s="5" t="s">
        <v>12</v>
      </c>
      <c r="G350" s="9" t="s">
        <v>25</v>
      </c>
      <c r="H350" s="10"/>
      <c r="I350" s="10"/>
      <c r="J350" s="10"/>
      <c r="K350" s="10"/>
    </row>
    <row r="351" ht="30.0" customHeight="1">
      <c r="A351" s="4" t="s">
        <v>18</v>
      </c>
      <c r="B351" s="35" t="s">
        <v>19</v>
      </c>
      <c r="C351" s="44">
        <v>84181.73</v>
      </c>
      <c r="D351" s="7" t="str">
        <f>HYPERLINK("http://www.usrc.it/AppRendiConta/det_465_20190729.pdf","Determina 465 del 29/07/2019")</f>
        <v>Determina 465 del 29/07/2019</v>
      </c>
      <c r="E351" s="27" t="s">
        <v>571</v>
      </c>
      <c r="F351" s="13" t="s">
        <v>12</v>
      </c>
      <c r="G351" s="9" t="s">
        <v>21</v>
      </c>
      <c r="H351" s="10"/>
      <c r="I351" s="10"/>
      <c r="J351" s="10"/>
      <c r="K351" s="10"/>
    </row>
    <row r="352" ht="30.0" customHeight="1">
      <c r="A352" s="4" t="s">
        <v>234</v>
      </c>
      <c r="B352" s="35" t="s">
        <v>235</v>
      </c>
      <c r="C352" s="44">
        <v>109774.14</v>
      </c>
      <c r="D352" s="7" t="str">
        <f>HYPERLINK("http://www.usrc.it/AppRendiConta/det_466_20190729.pdf","Determina 466 del 29/07/2019")</f>
        <v>Determina 466 del 29/07/2019</v>
      </c>
      <c r="E352" s="27" t="s">
        <v>572</v>
      </c>
      <c r="F352" s="5" t="s">
        <v>12</v>
      </c>
      <c r="G352" s="9" t="s">
        <v>21</v>
      </c>
      <c r="H352" s="10"/>
      <c r="I352" s="10"/>
      <c r="J352" s="10"/>
      <c r="K352" s="10"/>
    </row>
    <row r="353" ht="30.0" customHeight="1">
      <c r="A353" s="4" t="s">
        <v>573</v>
      </c>
      <c r="B353" s="35" t="s">
        <v>574</v>
      </c>
      <c r="C353" s="44">
        <v>716606.67</v>
      </c>
      <c r="D353" s="7" t="str">
        <f>HYPERLINK("http://www.usrc.it/AppRendiConta/det_468_20190729.pdf","Determina 468 del 29/07/2019")</f>
        <v>Determina 468 del 29/07/2019</v>
      </c>
      <c r="E353" s="27" t="s">
        <v>575</v>
      </c>
      <c r="F353" s="5" t="s">
        <v>12</v>
      </c>
      <c r="G353" s="9" t="s">
        <v>25</v>
      </c>
      <c r="H353" s="10"/>
      <c r="I353" s="10"/>
      <c r="J353" s="10"/>
      <c r="K353" s="10"/>
    </row>
    <row r="354" ht="30.0" customHeight="1">
      <c r="A354" s="4" t="s">
        <v>29</v>
      </c>
      <c r="B354" s="35" t="s">
        <v>30</v>
      </c>
      <c r="C354" s="44">
        <v>5183785.44</v>
      </c>
      <c r="D354" s="7" t="str">
        <f>HYPERLINK("http://www.usrc.it/AppRendiConta/det_469_20190729.pdf","Determina 469 del 29/07/2019")</f>
        <v>Determina 469 del 29/07/2019</v>
      </c>
      <c r="E354" s="27" t="s">
        <v>576</v>
      </c>
      <c r="F354" s="13" t="s">
        <v>12</v>
      </c>
      <c r="G354" s="18" t="s">
        <v>479</v>
      </c>
      <c r="H354" s="10"/>
      <c r="I354" s="10"/>
      <c r="J354" s="10"/>
      <c r="K354" s="10"/>
    </row>
    <row r="355" ht="30.0" customHeight="1">
      <c r="A355" s="4" t="s">
        <v>228</v>
      </c>
      <c r="B355" s="35" t="s">
        <v>229</v>
      </c>
      <c r="C355" s="44">
        <v>2093315.66</v>
      </c>
      <c r="D355" s="7" t="str">
        <f>HYPERLINK("http://www.usrc.it/AppRendiConta/det_470_20190729.pdf","Determina 470 del 29/07/2019")</f>
        <v>Determina 470 del 29/07/2019</v>
      </c>
      <c r="E355" s="27" t="s">
        <v>577</v>
      </c>
      <c r="F355" s="13" t="s">
        <v>12</v>
      </c>
      <c r="G355" s="18" t="s">
        <v>479</v>
      </c>
      <c r="H355" s="10"/>
      <c r="I355" s="10"/>
      <c r="J355" s="10"/>
      <c r="K355" s="10"/>
    </row>
    <row r="356" ht="30.0" customHeight="1">
      <c r="A356" s="4" t="s">
        <v>54</v>
      </c>
      <c r="B356" s="35" t="s">
        <v>55</v>
      </c>
      <c r="C356" s="44">
        <v>164756.65</v>
      </c>
      <c r="D356" s="7" t="str">
        <f>HYPERLINK("http://www.usrc.it/AppRendiConta/det_477_20190801.pdf","Determina 477 del 01/08/2019")</f>
        <v>Determina 477 del 01/08/2019</v>
      </c>
      <c r="E356" s="27" t="s">
        <v>578</v>
      </c>
      <c r="F356" s="5" t="s">
        <v>12</v>
      </c>
      <c r="G356" s="9" t="s">
        <v>579</v>
      </c>
      <c r="H356" s="10"/>
      <c r="I356" s="10"/>
      <c r="J356" s="10"/>
      <c r="K356" s="10"/>
    </row>
    <row r="357" ht="30.0" customHeight="1">
      <c r="A357" s="4" t="s">
        <v>580</v>
      </c>
      <c r="B357" s="35" t="s">
        <v>457</v>
      </c>
      <c r="C357" s="44">
        <v>137474.15</v>
      </c>
      <c r="D357" s="7" t="str">
        <f>HYPERLINK("http://www.usrc.it/AppRendiConta/det_483_20190805.pdf","Determina 483 del 05/08/2019")</f>
        <v>Determina 483 del 05/08/2019</v>
      </c>
      <c r="E357" s="27" t="s">
        <v>581</v>
      </c>
      <c r="F357" s="5" t="s">
        <v>12</v>
      </c>
      <c r="G357" s="9" t="s">
        <v>582</v>
      </c>
      <c r="H357" s="10"/>
      <c r="I357" s="10"/>
      <c r="J357" s="10"/>
      <c r="K357" s="10"/>
    </row>
    <row r="358" ht="30.0" customHeight="1">
      <c r="A358" s="4" t="s">
        <v>390</v>
      </c>
      <c r="B358" s="35" t="s">
        <v>391</v>
      </c>
      <c r="C358" s="44">
        <v>340146.85</v>
      </c>
      <c r="D358" s="7" t="str">
        <f>HYPERLINK("http://www.usrc.it/AppRendiConta/det_485_20190806.pdf","Determina 485 del 06/08/2019")</f>
        <v>Determina 485 del 06/08/2019</v>
      </c>
      <c r="E358" s="27" t="s">
        <v>392</v>
      </c>
      <c r="F358" s="5" t="s">
        <v>12</v>
      </c>
      <c r="G358" s="9" t="s">
        <v>583</v>
      </c>
      <c r="H358" s="10"/>
      <c r="I358" s="10"/>
      <c r="J358" s="10"/>
      <c r="K358" s="10"/>
    </row>
    <row r="359" ht="30.0" customHeight="1">
      <c r="A359" s="4" t="s">
        <v>584</v>
      </c>
      <c r="B359" s="35" t="s">
        <v>46</v>
      </c>
      <c r="C359" s="44">
        <v>360908.14</v>
      </c>
      <c r="D359" s="7" t="str">
        <f>HYPERLINK("http://www.usrc.it/AppRendiConta/det_486_20190806.pdf","Determina 486 del 06/08/2019")</f>
        <v>Determina 486 del 06/08/2019</v>
      </c>
      <c r="E359" s="27" t="s">
        <v>585</v>
      </c>
      <c r="F359" s="5" t="s">
        <v>12</v>
      </c>
      <c r="G359" s="9" t="s">
        <v>579</v>
      </c>
      <c r="H359" s="10"/>
      <c r="I359" s="10"/>
      <c r="J359" s="10"/>
      <c r="K359" s="10"/>
    </row>
    <row r="360" ht="30.0" customHeight="1">
      <c r="A360" s="4" t="s">
        <v>294</v>
      </c>
      <c r="B360" s="35" t="s">
        <v>295</v>
      </c>
      <c r="C360" s="44">
        <v>37262.9</v>
      </c>
      <c r="D360" s="7" t="str">
        <f>HYPERLINK("http://www.usrc.it/AppRendiConta/det_491_20190806.pdf","Determina 491 del 06/08/2019")</f>
        <v>Determina 491 del 06/08/2019</v>
      </c>
      <c r="E360" s="27" t="s">
        <v>586</v>
      </c>
      <c r="F360" s="5" t="s">
        <v>12</v>
      </c>
      <c r="G360" s="9" t="s">
        <v>579</v>
      </c>
      <c r="H360" s="10"/>
      <c r="I360" s="10"/>
      <c r="J360" s="10"/>
      <c r="K360" s="10"/>
    </row>
    <row r="361" ht="30.0" customHeight="1">
      <c r="A361" s="4" t="s">
        <v>136</v>
      </c>
      <c r="B361" s="35" t="s">
        <v>137</v>
      </c>
      <c r="C361" s="44">
        <v>3869989.51</v>
      </c>
      <c r="D361" s="7" t="str">
        <f>HYPERLINK("http://www.usrc.it/AppRendiConta/det_492_20190806.pdf","Determina 492 del 06/08/2019")</f>
        <v>Determina 492 del 06/08/2019</v>
      </c>
      <c r="E361" s="27" t="s">
        <v>587</v>
      </c>
      <c r="F361" s="9" t="s">
        <v>12</v>
      </c>
      <c r="G361" s="9" t="s">
        <v>479</v>
      </c>
      <c r="H361" s="10"/>
      <c r="I361" s="10"/>
      <c r="J361" s="10"/>
      <c r="K361" s="10"/>
    </row>
    <row r="362" ht="30.0" customHeight="1">
      <c r="A362" s="53" t="s">
        <v>588</v>
      </c>
      <c r="B362" s="35" t="s">
        <v>589</v>
      </c>
      <c r="C362" s="44">
        <v>7067.32</v>
      </c>
      <c r="D362" s="7" t="str">
        <f>HYPERLINK("http://www.usrc.it/AppRendiConta/det_498_20190809.pdf","Determina 498 del 09/08/2019")</f>
        <v>Determina 498 del 09/08/2019</v>
      </c>
      <c r="E362" s="27" t="s">
        <v>590</v>
      </c>
      <c r="F362" s="5" t="s">
        <v>12</v>
      </c>
      <c r="G362" s="9" t="s">
        <v>506</v>
      </c>
      <c r="H362" s="10"/>
      <c r="I362" s="10"/>
      <c r="J362" s="10"/>
      <c r="K362" s="10"/>
    </row>
    <row r="363" ht="30.0" customHeight="1">
      <c r="A363" s="4" t="s">
        <v>450</v>
      </c>
      <c r="B363" s="35" t="s">
        <v>451</v>
      </c>
      <c r="C363" s="44">
        <v>116273.01</v>
      </c>
      <c r="D363" s="7" t="str">
        <f>HYPERLINK("http://www.usrc.it/AppRendiConta/det_504_20190809.pdf","Determina 504 del 09/08/2019")</f>
        <v>Determina 504 del 09/08/2019</v>
      </c>
      <c r="E363" s="27" t="s">
        <v>591</v>
      </c>
      <c r="F363" s="5" t="s">
        <v>12</v>
      </c>
      <c r="G363" s="9" t="s">
        <v>506</v>
      </c>
      <c r="H363" s="10"/>
      <c r="I363" s="10"/>
      <c r="J363" s="10"/>
      <c r="K363" s="10"/>
    </row>
    <row r="364" ht="30.0" customHeight="1">
      <c r="A364" s="4" t="s">
        <v>138</v>
      </c>
      <c r="B364" s="35" t="s">
        <v>139</v>
      </c>
      <c r="C364" s="44">
        <v>278027.34</v>
      </c>
      <c r="D364" s="7" t="str">
        <f>HYPERLINK("http://www.usrc.it/AppRendiConta/det_507_20190820.pdf","Determina 507 del 20/08/2019")</f>
        <v>Determina 507 del 20/08/2019</v>
      </c>
      <c r="E364" s="27" t="s">
        <v>592</v>
      </c>
      <c r="F364" s="5" t="s">
        <v>12</v>
      </c>
      <c r="G364" s="9" t="s">
        <v>35</v>
      </c>
      <c r="H364" s="10"/>
      <c r="I364" s="10"/>
      <c r="J364" s="10"/>
      <c r="K364" s="10"/>
    </row>
    <row r="365" ht="30.0" customHeight="1">
      <c r="A365" s="4" t="s">
        <v>593</v>
      </c>
      <c r="B365" s="35" t="s">
        <v>594</v>
      </c>
      <c r="C365" s="44">
        <v>8656.7</v>
      </c>
      <c r="D365" s="7" t="str">
        <f t="shared" ref="D365:D366" si="23">HYPERLINK("http://www.usrc.it/AppRendiConta/det_508_20190820.pdf","Determina 508 del 20/08/2019")</f>
        <v>Determina 508 del 20/08/2019</v>
      </c>
      <c r="E365" s="27" t="s">
        <v>595</v>
      </c>
      <c r="F365" s="5" t="s">
        <v>12</v>
      </c>
      <c r="G365" s="9" t="s">
        <v>596</v>
      </c>
      <c r="H365" s="10"/>
      <c r="I365" s="10"/>
      <c r="J365" s="10"/>
      <c r="K365" s="10"/>
    </row>
    <row r="366" ht="30.0" customHeight="1">
      <c r="A366" s="4" t="s">
        <v>593</v>
      </c>
      <c r="B366" s="35" t="s">
        <v>594</v>
      </c>
      <c r="C366" s="44">
        <v>20198.98</v>
      </c>
      <c r="D366" s="7" t="str">
        <f t="shared" si="23"/>
        <v>Determina 508 del 20/08/2019</v>
      </c>
      <c r="E366" s="27" t="s">
        <v>595</v>
      </c>
      <c r="F366" s="5" t="s">
        <v>12</v>
      </c>
      <c r="G366" s="9" t="s">
        <v>507</v>
      </c>
      <c r="H366" s="10"/>
      <c r="I366" s="10"/>
      <c r="J366" s="10"/>
      <c r="K366" s="10"/>
    </row>
    <row r="367" ht="30.0" customHeight="1">
      <c r="A367" s="4" t="s">
        <v>580</v>
      </c>
      <c r="B367" s="35" t="s">
        <v>457</v>
      </c>
      <c r="C367" s="44">
        <v>4166.92</v>
      </c>
      <c r="D367" s="7" t="str">
        <f>HYPERLINK("http://www.usrc.it/AppRendiConta/det_517_20190902.pdf","Determina 517 del 02/09/2019")</f>
        <v>Determina 517 del 02/09/2019</v>
      </c>
      <c r="E367" s="27" t="s">
        <v>597</v>
      </c>
      <c r="F367" s="5" t="s">
        <v>12</v>
      </c>
      <c r="G367" s="9" t="s">
        <v>459</v>
      </c>
      <c r="H367" s="10"/>
      <c r="I367" s="10"/>
      <c r="J367" s="10"/>
      <c r="K367" s="10"/>
    </row>
    <row r="368" ht="30.0" customHeight="1">
      <c r="A368" s="4" t="s">
        <v>158</v>
      </c>
      <c r="B368" s="35" t="s">
        <v>159</v>
      </c>
      <c r="C368" s="44">
        <v>1883054.14</v>
      </c>
      <c r="D368" s="7" t="str">
        <f>HYPERLINK("http://www.usrc.it/AppRendiConta/det_518_20190903.pdf","Determina 518 del 03/09/2019")</f>
        <v>Determina 518 del 03/09/2019</v>
      </c>
      <c r="E368" s="27" t="s">
        <v>598</v>
      </c>
      <c r="F368" s="5" t="s">
        <v>12</v>
      </c>
      <c r="G368" s="9" t="s">
        <v>479</v>
      </c>
      <c r="H368" s="10"/>
      <c r="I368" s="10"/>
      <c r="J368" s="10"/>
      <c r="K368" s="10"/>
    </row>
    <row r="369" ht="30.0" customHeight="1">
      <c r="A369" s="4" t="s">
        <v>244</v>
      </c>
      <c r="B369" s="35" t="s">
        <v>245</v>
      </c>
      <c r="C369" s="44">
        <v>52108.0</v>
      </c>
      <c r="D369" s="7" t="str">
        <f>HYPERLINK("http://www.usrc.it/AppRendiConta/det_519_20190903.pdf","Determina 519 del 03/09/2019")</f>
        <v>Determina 519 del 03/09/2019</v>
      </c>
      <c r="E369" s="27" t="s">
        <v>599</v>
      </c>
      <c r="F369" s="5" t="s">
        <v>12</v>
      </c>
      <c r="G369" s="9" t="s">
        <v>21</v>
      </c>
      <c r="H369" s="10"/>
      <c r="I369" s="10"/>
      <c r="J369" s="10"/>
      <c r="K369" s="10"/>
    </row>
    <row r="370" ht="30.0" customHeight="1">
      <c r="A370" s="4" t="s">
        <v>39</v>
      </c>
      <c r="B370" s="35" t="s">
        <v>40</v>
      </c>
      <c r="C370" s="44">
        <v>206591.65</v>
      </c>
      <c r="D370" s="7" t="str">
        <f>HYPERLINK("http://www.usrc.it/AppRendiConta/det_520_20190903.pdf","Determina 520 del 03/09/2019")</f>
        <v>Determina 520 del 03/09/2019</v>
      </c>
      <c r="E370" s="27" t="s">
        <v>600</v>
      </c>
      <c r="F370" s="5" t="s">
        <v>12</v>
      </c>
      <c r="G370" s="9" t="s">
        <v>21</v>
      </c>
      <c r="H370" s="10"/>
      <c r="I370" s="10"/>
      <c r="J370" s="10"/>
      <c r="K370" s="10"/>
    </row>
    <row r="371" ht="30.0" customHeight="1">
      <c r="A371" s="4" t="s">
        <v>287</v>
      </c>
      <c r="B371" s="35" t="s">
        <v>288</v>
      </c>
      <c r="C371" s="44">
        <v>236243.57</v>
      </c>
      <c r="D371" s="7" t="str">
        <f>HYPERLINK("http://www.usrc.it/AppRendiConta/det_521_20190903.pdf","Determina 521 del 03/09/2019")</f>
        <v>Determina 521 del 03/09/2019</v>
      </c>
      <c r="E371" s="27" t="s">
        <v>601</v>
      </c>
      <c r="F371" s="5" t="s">
        <v>12</v>
      </c>
      <c r="G371" s="9" t="s">
        <v>21</v>
      </c>
      <c r="H371" s="10"/>
      <c r="I371" s="10"/>
      <c r="J371" s="10"/>
      <c r="K371" s="10"/>
    </row>
    <row r="372" ht="30.0" customHeight="1">
      <c r="A372" s="4" t="s">
        <v>90</v>
      </c>
      <c r="B372" s="35" t="s">
        <v>91</v>
      </c>
      <c r="C372" s="44">
        <v>166492.72</v>
      </c>
      <c r="D372" s="7" t="str">
        <f>HYPERLINK("http://www.usrc.it/AppRendiConta/det_522_20190903.pdf","Determina 522 del 03/09/2019")</f>
        <v>Determina 522 del 03/09/2019</v>
      </c>
      <c r="E372" s="27" t="s">
        <v>602</v>
      </c>
      <c r="F372" s="5" t="s">
        <v>12</v>
      </c>
      <c r="G372" s="9" t="s">
        <v>21</v>
      </c>
      <c r="H372" s="10"/>
      <c r="I372" s="10"/>
      <c r="J372" s="10"/>
      <c r="K372" s="10"/>
    </row>
    <row r="373" ht="30.0" customHeight="1">
      <c r="A373" s="4" t="s">
        <v>75</v>
      </c>
      <c r="B373" s="35" t="s">
        <v>76</v>
      </c>
      <c r="C373" s="44">
        <v>244370.5</v>
      </c>
      <c r="D373" s="7" t="str">
        <f>HYPERLINK("http://www.usrc.it/AppRendiConta/det_523_20190903.pdf","Determina 523 del 03/09/2019")</f>
        <v>Determina 523 del 03/09/2019</v>
      </c>
      <c r="E373" s="27" t="s">
        <v>603</v>
      </c>
      <c r="F373" s="5" t="s">
        <v>12</v>
      </c>
      <c r="G373" s="9" t="s">
        <v>21</v>
      </c>
      <c r="H373" s="10"/>
      <c r="I373" s="10"/>
      <c r="J373" s="10"/>
      <c r="K373" s="10"/>
    </row>
    <row r="374" ht="30.0" customHeight="1">
      <c r="A374" s="4" t="s">
        <v>294</v>
      </c>
      <c r="B374" s="35" t="s">
        <v>295</v>
      </c>
      <c r="C374" s="44">
        <v>39994.93</v>
      </c>
      <c r="D374" s="7" t="str">
        <f>HYPERLINK("http://www.usrc.it/AppRendiConta/det_524_20190903.pdf","Determina 524 del 03/09/2019")</f>
        <v>Determina 524 del 03/09/2019</v>
      </c>
      <c r="E374" s="27" t="s">
        <v>604</v>
      </c>
      <c r="F374" s="5" t="s">
        <v>12</v>
      </c>
      <c r="G374" s="9" t="s">
        <v>21</v>
      </c>
      <c r="H374" s="10"/>
      <c r="I374" s="10"/>
      <c r="J374" s="10"/>
      <c r="K374" s="10"/>
    </row>
    <row r="375" ht="30.0" customHeight="1">
      <c r="A375" s="4" t="s">
        <v>138</v>
      </c>
      <c r="B375" s="35" t="s">
        <v>139</v>
      </c>
      <c r="C375" s="44">
        <v>256469.92</v>
      </c>
      <c r="D375" s="7" t="str">
        <f>HYPERLINK("http://www.usrc.it/AppRendiConta/det_527_20190904.pdf","Determina 527 del 04/09/2019")</f>
        <v>Determina 527 del 04/09/2019</v>
      </c>
      <c r="E375" s="27" t="s">
        <v>605</v>
      </c>
      <c r="F375" s="5" t="s">
        <v>12</v>
      </c>
      <c r="G375" s="9" t="s">
        <v>21</v>
      </c>
      <c r="H375" s="10"/>
      <c r="I375" s="10"/>
      <c r="J375" s="10"/>
      <c r="K375" s="10"/>
    </row>
    <row r="376" ht="30.0" customHeight="1">
      <c r="A376" s="4" t="s">
        <v>433</v>
      </c>
      <c r="B376" s="35" t="s">
        <v>434</v>
      </c>
      <c r="C376" s="44">
        <v>75240.37</v>
      </c>
      <c r="D376" s="7" t="str">
        <f>HYPERLINK("http://www.usrc.it/AppRendiConta/det_529_20190904.pdf","Determina 529 del 04/09/2019")</f>
        <v>Determina 529 del 04/09/2019</v>
      </c>
      <c r="E376" s="27" t="s">
        <v>435</v>
      </c>
      <c r="F376" s="5" t="s">
        <v>12</v>
      </c>
      <c r="G376" s="9" t="s">
        <v>507</v>
      </c>
      <c r="H376" s="10"/>
      <c r="I376" s="10"/>
      <c r="J376" s="10"/>
      <c r="K376" s="10"/>
    </row>
    <row r="377" ht="30.0" customHeight="1">
      <c r="A377" s="4" t="s">
        <v>48</v>
      </c>
      <c r="B377" s="35" t="s">
        <v>49</v>
      </c>
      <c r="C377" s="44">
        <v>7966.6</v>
      </c>
      <c r="D377" s="7" t="str">
        <f>HYPERLINK("http://www.usrc.it/AppRendiConta/det_532_20190912.pdf","Determina 532 del 12/09/2019")</f>
        <v>Determina 532 del 12/09/2019</v>
      </c>
      <c r="E377" s="27" t="s">
        <v>606</v>
      </c>
      <c r="F377" s="5" t="s">
        <v>12</v>
      </c>
      <c r="G377" s="9" t="s">
        <v>191</v>
      </c>
      <c r="H377" s="10"/>
      <c r="I377" s="10"/>
      <c r="J377" s="10"/>
      <c r="K377" s="10"/>
    </row>
    <row r="378" ht="30.0" customHeight="1">
      <c r="A378" s="4" t="s">
        <v>287</v>
      </c>
      <c r="B378" s="35" t="s">
        <v>288</v>
      </c>
      <c r="C378" s="44">
        <v>7767.47</v>
      </c>
      <c r="D378" s="7" t="str">
        <f>HYPERLINK("http://www.usrc.it/AppRendiConta/det_533_20190912.pdf","Determina 533 del 12/09/2019")</f>
        <v>Determina 533 del 12/09/2019</v>
      </c>
      <c r="E378" s="27" t="s">
        <v>607</v>
      </c>
      <c r="F378" s="5" t="s">
        <v>12</v>
      </c>
      <c r="G378" s="9" t="s">
        <v>191</v>
      </c>
      <c r="H378" s="10"/>
      <c r="I378" s="10"/>
      <c r="J378" s="10"/>
      <c r="K378" s="10"/>
    </row>
    <row r="379" ht="30.0" customHeight="1">
      <c r="A379" s="4" t="s">
        <v>177</v>
      </c>
      <c r="B379" s="35" t="s">
        <v>178</v>
      </c>
      <c r="C379" s="44">
        <v>2682459.94</v>
      </c>
      <c r="D379" s="7" t="str">
        <f>HYPERLINK("http://www.usrc.it/AppRendiConta/det_534_20190912.pdf","Determina 534 del 12/09/2019")</f>
        <v>Determina 534 del 12/09/2019</v>
      </c>
      <c r="E379" s="27" t="s">
        <v>608</v>
      </c>
      <c r="F379" s="5" t="s">
        <v>12</v>
      </c>
      <c r="G379" s="9" t="s">
        <v>479</v>
      </c>
      <c r="H379" s="10"/>
      <c r="I379" s="10"/>
      <c r="J379" s="10"/>
      <c r="K379" s="10"/>
    </row>
    <row r="380" ht="30.0" customHeight="1">
      <c r="A380" s="4" t="s">
        <v>14</v>
      </c>
      <c r="B380" s="35" t="s">
        <v>15</v>
      </c>
      <c r="C380" s="44">
        <v>511563.26</v>
      </c>
      <c r="D380" s="7" t="str">
        <f>HYPERLINK("http://www.usrc.it/AppRendiConta/det_536_20190912.pdf","Determina 536 del 12/09/2019")</f>
        <v>Determina 536 del 12/09/2019</v>
      </c>
      <c r="E380" s="27" t="s">
        <v>609</v>
      </c>
      <c r="F380" s="5" t="s">
        <v>12</v>
      </c>
      <c r="G380" s="9" t="s">
        <v>506</v>
      </c>
      <c r="H380" s="10"/>
      <c r="I380" s="10"/>
      <c r="J380" s="10"/>
      <c r="K380" s="10"/>
    </row>
    <row r="381" ht="30.0" customHeight="1">
      <c r="A381" s="4" t="s">
        <v>228</v>
      </c>
      <c r="B381" s="35" t="s">
        <v>229</v>
      </c>
      <c r="C381" s="44">
        <v>7998.32</v>
      </c>
      <c r="D381" s="7" t="str">
        <f>HYPERLINK("http://www.usrc.it/AppRendiConta/det_537_20190912.pdf","Determina 537 del 12/09/2019")</f>
        <v>Determina 537 del 12/09/2019</v>
      </c>
      <c r="E381" s="27" t="s">
        <v>610</v>
      </c>
      <c r="F381" s="5" t="s">
        <v>12</v>
      </c>
      <c r="G381" s="9" t="s">
        <v>191</v>
      </c>
      <c r="H381" s="10"/>
      <c r="I381" s="10"/>
      <c r="J381" s="10"/>
      <c r="K381" s="10"/>
    </row>
    <row r="382" ht="30.0" customHeight="1">
      <c r="A382" s="4" t="s">
        <v>112</v>
      </c>
      <c r="B382" s="35" t="s">
        <v>113</v>
      </c>
      <c r="C382" s="44">
        <v>38878.9</v>
      </c>
      <c r="D382" s="7" t="str">
        <f>HYPERLINK("http://www.usrc.it/AppRendiConta/det_546_20190918.pdf","Determina 546 del 18/09/2019")</f>
        <v>Determina 546 del 18/09/2019</v>
      </c>
      <c r="E382" s="27" t="s">
        <v>611</v>
      </c>
      <c r="F382" s="5" t="s">
        <v>12</v>
      </c>
      <c r="G382" s="9" t="s">
        <v>191</v>
      </c>
      <c r="H382" s="10"/>
      <c r="I382" s="10"/>
      <c r="J382" s="10"/>
      <c r="K382" s="10"/>
    </row>
    <row r="383" ht="30.0" customHeight="1">
      <c r="A383" s="4" t="s">
        <v>298</v>
      </c>
      <c r="B383" s="35" t="s">
        <v>299</v>
      </c>
      <c r="C383" s="44">
        <v>12372.91</v>
      </c>
      <c r="D383" s="7" t="str">
        <f>HYPERLINK("http://www.usrc.it/AppRendiConta/det_550_20190918.pdf","Determina 550 del 18/09/2019")</f>
        <v>Determina 550 del 18/09/2019</v>
      </c>
      <c r="E383" s="27" t="s">
        <v>612</v>
      </c>
      <c r="F383" s="5" t="s">
        <v>12</v>
      </c>
      <c r="G383" s="9" t="s">
        <v>25</v>
      </c>
      <c r="H383" s="10"/>
      <c r="I383" s="10"/>
      <c r="J383" s="10"/>
      <c r="K383" s="10"/>
    </row>
    <row r="384" ht="30.0" customHeight="1">
      <c r="A384" s="4" t="s">
        <v>151</v>
      </c>
      <c r="B384" s="35" t="s">
        <v>152</v>
      </c>
      <c r="C384" s="44">
        <v>112952.31</v>
      </c>
      <c r="D384" s="7" t="str">
        <f>HYPERLINK("http://www.usrc.it/AppRendiConta/det_551_20190918.pdf","Determina 551 del 18/09/2019")</f>
        <v>Determina 551 del 18/09/2019</v>
      </c>
      <c r="E384" s="27" t="s">
        <v>613</v>
      </c>
      <c r="F384" s="5" t="s">
        <v>12</v>
      </c>
      <c r="G384" s="9" t="s">
        <v>25</v>
      </c>
      <c r="H384" s="10"/>
      <c r="I384" s="10"/>
      <c r="J384" s="10"/>
      <c r="K384" s="10"/>
    </row>
    <row r="385" ht="30.0" customHeight="1">
      <c r="A385" s="4" t="s">
        <v>119</v>
      </c>
      <c r="B385" s="35" t="s">
        <v>120</v>
      </c>
      <c r="C385" s="44">
        <v>225518.47</v>
      </c>
      <c r="D385" s="7" t="str">
        <f>HYPERLINK("http://www.usrc.it/AppRendiConta/det_554_20190919.pdf","Determina 554 del 19/09/2019")</f>
        <v>Determina 554 del 19/09/2019</v>
      </c>
      <c r="E385" s="27" t="s">
        <v>614</v>
      </c>
      <c r="F385" s="5" t="s">
        <v>12</v>
      </c>
      <c r="G385" s="9" t="s">
        <v>25</v>
      </c>
      <c r="H385" s="10"/>
      <c r="I385" s="10"/>
      <c r="J385" s="10"/>
      <c r="K385" s="10"/>
    </row>
    <row r="386" ht="30.0" customHeight="1">
      <c r="A386" s="4" t="s">
        <v>201</v>
      </c>
      <c r="B386" s="35" t="s">
        <v>202</v>
      </c>
      <c r="C386" s="44">
        <v>2476005.56</v>
      </c>
      <c r="D386" s="7" t="str">
        <f>HYPERLINK("http://www.usrc.it/AppRendiConta/det_556_20190919.pdf","Determina 556 del 19/09/2019")</f>
        <v>Determina 556 del 19/09/2019</v>
      </c>
      <c r="E386" s="27" t="s">
        <v>615</v>
      </c>
      <c r="F386" s="5" t="s">
        <v>12</v>
      </c>
      <c r="G386" s="9" t="s">
        <v>479</v>
      </c>
      <c r="H386" s="10"/>
      <c r="I386" s="10"/>
      <c r="J386" s="10"/>
      <c r="K386" s="10"/>
    </row>
    <row r="387" ht="30.0" customHeight="1">
      <c r="A387" s="4" t="s">
        <v>238</v>
      </c>
      <c r="B387" s="35" t="s">
        <v>239</v>
      </c>
      <c r="C387" s="44">
        <v>4928030.51</v>
      </c>
      <c r="D387" s="7" t="str">
        <f>HYPERLINK("http://www.usrc.it/AppRendiConta/det_557_20190919.pdf","Determina 557 del 19/09/2019")</f>
        <v>Determina 557 del 19/09/2019</v>
      </c>
      <c r="E387" s="27" t="s">
        <v>616</v>
      </c>
      <c r="F387" s="9" t="s">
        <v>12</v>
      </c>
      <c r="G387" s="9" t="s">
        <v>479</v>
      </c>
      <c r="H387" s="10"/>
      <c r="I387" s="10"/>
      <c r="J387" s="10"/>
      <c r="K387" s="10"/>
    </row>
    <row r="388" ht="30.0" customHeight="1">
      <c r="A388" s="4" t="s">
        <v>196</v>
      </c>
      <c r="B388" s="35" t="s">
        <v>197</v>
      </c>
      <c r="C388" s="44">
        <v>32000.0</v>
      </c>
      <c r="D388" s="7" t="str">
        <f>HYPERLINK("http://www.usrc.it/AppRendiConta/det_568_20190926.pdf","Determina 568 del 26/09/2019")</f>
        <v>Determina 568 del 26/09/2019</v>
      </c>
      <c r="E388" s="27" t="s">
        <v>617</v>
      </c>
      <c r="F388" s="5" t="s">
        <v>12</v>
      </c>
      <c r="G388" s="9" t="s">
        <v>191</v>
      </c>
      <c r="H388" s="10"/>
      <c r="I388" s="10"/>
      <c r="J388" s="10"/>
      <c r="K388" s="10"/>
    </row>
    <row r="389" ht="30.0" customHeight="1">
      <c r="A389" s="4" t="s">
        <v>618</v>
      </c>
      <c r="B389" s="35" t="s">
        <v>619</v>
      </c>
      <c r="C389" s="44">
        <v>458215.86</v>
      </c>
      <c r="D389" s="7" t="str">
        <f t="shared" ref="D389:D390" si="24">HYPERLINK("http://www.usrc.it/AppRendiConta/det_570_20190927.pdf","Determina 570 del 27/09/2019")</f>
        <v>Determina 570 del 27/09/2019</v>
      </c>
      <c r="E389" s="27" t="s">
        <v>620</v>
      </c>
      <c r="F389" s="5" t="s">
        <v>12</v>
      </c>
      <c r="G389" s="9" t="s">
        <v>621</v>
      </c>
      <c r="H389" s="10"/>
      <c r="I389" s="10"/>
      <c r="J389" s="10"/>
      <c r="K389" s="10"/>
    </row>
    <row r="390" ht="30.0" customHeight="1">
      <c r="A390" s="4" t="s">
        <v>618</v>
      </c>
      <c r="B390" s="35" t="s">
        <v>619</v>
      </c>
      <c r="C390" s="44">
        <v>421862.03</v>
      </c>
      <c r="D390" s="7" t="str">
        <f t="shared" si="24"/>
        <v>Determina 570 del 27/09/2019</v>
      </c>
      <c r="E390" s="27" t="s">
        <v>620</v>
      </c>
      <c r="F390" s="5" t="s">
        <v>12</v>
      </c>
      <c r="G390" s="9" t="s">
        <v>622</v>
      </c>
      <c r="H390" s="10"/>
      <c r="I390" s="10"/>
      <c r="J390" s="10"/>
      <c r="K390" s="10"/>
    </row>
    <row r="391" ht="30.0" customHeight="1">
      <c r="A391" s="4" t="s">
        <v>403</v>
      </c>
      <c r="B391" s="35" t="s">
        <v>404</v>
      </c>
      <c r="C391" s="44">
        <v>427855.07</v>
      </c>
      <c r="D391" s="7" t="str">
        <f t="shared" ref="D391:D393" si="25">HYPERLINK("http://www.usrc.it/AppRendiConta/det_572_20190927.pdf","Determina 572 del 27/09/2019")</f>
        <v>Determina 572 del 27/09/2019</v>
      </c>
      <c r="E391" s="27" t="s">
        <v>623</v>
      </c>
      <c r="F391" s="5" t="s">
        <v>12</v>
      </c>
      <c r="G391" s="9" t="s">
        <v>622</v>
      </c>
      <c r="H391" s="10"/>
      <c r="I391" s="10"/>
      <c r="J391" s="10"/>
      <c r="K391" s="10"/>
    </row>
    <row r="392" ht="30.0" customHeight="1">
      <c r="A392" s="4" t="s">
        <v>403</v>
      </c>
      <c r="B392" s="35" t="s">
        <v>404</v>
      </c>
      <c r="C392" s="44">
        <v>331365.36</v>
      </c>
      <c r="D392" s="7" t="str">
        <f t="shared" si="25"/>
        <v>Determina 572 del 27/09/2019</v>
      </c>
      <c r="E392" s="27" t="s">
        <v>623</v>
      </c>
      <c r="F392" s="5" t="s">
        <v>12</v>
      </c>
      <c r="G392" s="9" t="s">
        <v>624</v>
      </c>
      <c r="H392" s="10"/>
      <c r="I392" s="10"/>
      <c r="J392" s="10"/>
      <c r="K392" s="10"/>
    </row>
    <row r="393" ht="30.0" customHeight="1">
      <c r="A393" s="4" t="s">
        <v>403</v>
      </c>
      <c r="B393" s="35" t="s">
        <v>404</v>
      </c>
      <c r="C393" s="44">
        <v>333763.35</v>
      </c>
      <c r="D393" s="7" t="str">
        <f t="shared" si="25"/>
        <v>Determina 572 del 27/09/2019</v>
      </c>
      <c r="E393" s="27" t="s">
        <v>623</v>
      </c>
      <c r="F393" s="5" t="s">
        <v>12</v>
      </c>
      <c r="G393" s="9" t="s">
        <v>625</v>
      </c>
      <c r="H393" s="10"/>
      <c r="I393" s="10"/>
      <c r="J393" s="10"/>
      <c r="K393" s="10"/>
    </row>
    <row r="394" ht="30.0" customHeight="1">
      <c r="A394" s="4" t="s">
        <v>220</v>
      </c>
      <c r="B394" s="35" t="s">
        <v>221</v>
      </c>
      <c r="C394" s="44">
        <v>10800.0</v>
      </c>
      <c r="D394" s="7" t="str">
        <f t="shared" ref="D394:D397" si="26">HYPERLINK("http://www.usrc.it/AppRendiConta/det_573_20190927.pdf","Determina 573 del 27/09/2019")</f>
        <v>Determina 573 del 27/09/2019</v>
      </c>
      <c r="E394" s="27" t="s">
        <v>147</v>
      </c>
      <c r="F394" s="5" t="s">
        <v>12</v>
      </c>
      <c r="G394" s="9" t="s">
        <v>123</v>
      </c>
      <c r="H394" s="10"/>
      <c r="I394" s="10"/>
      <c r="J394" s="10"/>
      <c r="K394" s="10"/>
    </row>
    <row r="395" ht="30.0" customHeight="1">
      <c r="A395" s="4" t="s">
        <v>302</v>
      </c>
      <c r="B395" s="35" t="s">
        <v>303</v>
      </c>
      <c r="C395" s="44">
        <v>21600.0</v>
      </c>
      <c r="D395" s="7" t="str">
        <f t="shared" si="26"/>
        <v>Determina 573 del 27/09/2019</v>
      </c>
      <c r="E395" s="27" t="s">
        <v>126</v>
      </c>
      <c r="F395" s="5" t="s">
        <v>12</v>
      </c>
      <c r="G395" s="9" t="s">
        <v>123</v>
      </c>
      <c r="H395" s="10"/>
      <c r="I395" s="10"/>
      <c r="J395" s="10"/>
      <c r="K395" s="10"/>
    </row>
    <row r="396" ht="30.0" customHeight="1">
      <c r="A396" s="4" t="s">
        <v>250</v>
      </c>
      <c r="B396" s="35" t="s">
        <v>251</v>
      </c>
      <c r="C396" s="44">
        <v>3600.0</v>
      </c>
      <c r="D396" s="7" t="str">
        <f t="shared" si="26"/>
        <v>Determina 573 del 27/09/2019</v>
      </c>
      <c r="E396" s="27" t="s">
        <v>626</v>
      </c>
      <c r="F396" s="5" t="s">
        <v>12</v>
      </c>
      <c r="G396" s="9" t="s">
        <v>123</v>
      </c>
      <c r="H396" s="10"/>
      <c r="I396" s="10"/>
      <c r="J396" s="10"/>
      <c r="K396" s="10"/>
    </row>
    <row r="397" ht="30.0" customHeight="1">
      <c r="A397" s="4" t="s">
        <v>627</v>
      </c>
      <c r="B397" s="35" t="s">
        <v>91</v>
      </c>
      <c r="C397" s="44">
        <v>14400.0</v>
      </c>
      <c r="D397" s="7" t="str">
        <f t="shared" si="26"/>
        <v>Determina 573 del 27/09/2019</v>
      </c>
      <c r="E397" s="27" t="s">
        <v>129</v>
      </c>
      <c r="F397" s="5" t="s">
        <v>12</v>
      </c>
      <c r="G397" s="9" t="s">
        <v>123</v>
      </c>
      <c r="H397" s="10"/>
      <c r="I397" s="10"/>
      <c r="J397" s="10"/>
      <c r="K397" s="10"/>
    </row>
    <row r="398" ht="30.0" customHeight="1">
      <c r="A398" s="4" t="s">
        <v>18</v>
      </c>
      <c r="B398" s="35" t="s">
        <v>19</v>
      </c>
      <c r="C398" s="44">
        <v>7200.0</v>
      </c>
      <c r="D398" s="7" t="str">
        <f t="shared" ref="D398:D425" si="27">HYPERLINK("http://www.usrc.it/AppRendiConta/det_574_20190927.pdf","Determina 574 del 27/09/2019")</f>
        <v>Determina 574 del 27/09/2019</v>
      </c>
      <c r="E398" s="27" t="s">
        <v>628</v>
      </c>
      <c r="F398" s="5" t="s">
        <v>12</v>
      </c>
      <c r="G398" s="9" t="s">
        <v>149</v>
      </c>
      <c r="H398" s="10"/>
      <c r="I398" s="10"/>
      <c r="J398" s="10"/>
      <c r="K398" s="10"/>
    </row>
    <row r="399" ht="30.0" customHeight="1">
      <c r="A399" s="4" t="s">
        <v>32</v>
      </c>
      <c r="B399" s="35" t="s">
        <v>33</v>
      </c>
      <c r="C399" s="44">
        <v>21120.0</v>
      </c>
      <c r="D399" s="7" t="str">
        <f t="shared" si="27"/>
        <v>Determina 574 del 27/09/2019</v>
      </c>
      <c r="E399" s="27" t="s">
        <v>629</v>
      </c>
      <c r="F399" s="5" t="s">
        <v>12</v>
      </c>
      <c r="G399" s="9" t="s">
        <v>149</v>
      </c>
      <c r="H399" s="10"/>
      <c r="I399" s="10"/>
      <c r="J399" s="10"/>
      <c r="K399" s="10"/>
    </row>
    <row r="400" ht="30.0" customHeight="1">
      <c r="A400" s="4" t="s">
        <v>42</v>
      </c>
      <c r="B400" s="35" t="s">
        <v>43</v>
      </c>
      <c r="C400" s="44">
        <v>16200.0</v>
      </c>
      <c r="D400" s="7" t="str">
        <f t="shared" si="27"/>
        <v>Determina 574 del 27/09/2019</v>
      </c>
      <c r="E400" s="27" t="s">
        <v>630</v>
      </c>
      <c r="F400" s="5" t="s">
        <v>12</v>
      </c>
      <c r="G400" s="9" t="s">
        <v>149</v>
      </c>
      <c r="H400" s="10"/>
      <c r="I400" s="10"/>
      <c r="J400" s="10"/>
      <c r="K400" s="10"/>
    </row>
    <row r="401" ht="30.0" customHeight="1">
      <c r="A401" s="4" t="s">
        <v>151</v>
      </c>
      <c r="B401" s="35" t="s">
        <v>152</v>
      </c>
      <c r="C401" s="44">
        <v>5400.0</v>
      </c>
      <c r="D401" s="7" t="str">
        <f t="shared" si="27"/>
        <v>Determina 574 del 27/09/2019</v>
      </c>
      <c r="E401" s="27" t="s">
        <v>631</v>
      </c>
      <c r="F401" s="5" t="s">
        <v>12</v>
      </c>
      <c r="G401" s="9" t="s">
        <v>149</v>
      </c>
      <c r="H401" s="10"/>
      <c r="I401" s="10"/>
      <c r="J401" s="10"/>
      <c r="K401" s="10"/>
    </row>
    <row r="402" ht="30.0" customHeight="1">
      <c r="A402" s="4" t="s">
        <v>130</v>
      </c>
      <c r="B402" s="35" t="s">
        <v>131</v>
      </c>
      <c r="C402" s="44">
        <v>7185.0</v>
      </c>
      <c r="D402" s="7" t="str">
        <f t="shared" si="27"/>
        <v>Determina 574 del 27/09/2019</v>
      </c>
      <c r="E402" s="27" t="s">
        <v>632</v>
      </c>
      <c r="F402" s="5" t="s">
        <v>12</v>
      </c>
      <c r="G402" s="9" t="s">
        <v>149</v>
      </c>
      <c r="H402" s="10"/>
      <c r="I402" s="10"/>
      <c r="J402" s="10"/>
      <c r="K402" s="10"/>
    </row>
    <row r="403" ht="30.0" customHeight="1">
      <c r="A403" s="4" t="s">
        <v>302</v>
      </c>
      <c r="B403" s="35" t="s">
        <v>303</v>
      </c>
      <c r="C403" s="44">
        <v>10800.0</v>
      </c>
      <c r="D403" s="7" t="str">
        <f t="shared" si="27"/>
        <v>Determina 574 del 27/09/2019</v>
      </c>
      <c r="E403" s="27" t="s">
        <v>633</v>
      </c>
      <c r="F403" s="5" t="s">
        <v>12</v>
      </c>
      <c r="G403" s="9" t="s">
        <v>149</v>
      </c>
      <c r="H403" s="10"/>
      <c r="I403" s="10"/>
      <c r="J403" s="10"/>
      <c r="K403" s="10"/>
    </row>
    <row r="404" ht="30.0" customHeight="1">
      <c r="A404" s="4" t="s">
        <v>98</v>
      </c>
      <c r="B404" s="35" t="s">
        <v>99</v>
      </c>
      <c r="C404" s="44">
        <v>5400.0</v>
      </c>
      <c r="D404" s="7" t="str">
        <f t="shared" si="27"/>
        <v>Determina 574 del 27/09/2019</v>
      </c>
      <c r="E404" s="27" t="s">
        <v>631</v>
      </c>
      <c r="F404" s="5" t="s">
        <v>12</v>
      </c>
      <c r="G404" s="9" t="s">
        <v>149</v>
      </c>
      <c r="H404" s="10"/>
      <c r="I404" s="10"/>
      <c r="J404" s="10"/>
      <c r="K404" s="10"/>
    </row>
    <row r="405" ht="30.0" customHeight="1">
      <c r="A405" s="4" t="s">
        <v>158</v>
      </c>
      <c r="B405" s="35" t="s">
        <v>159</v>
      </c>
      <c r="C405" s="44">
        <v>7200.0</v>
      </c>
      <c r="D405" s="7" t="str">
        <f t="shared" si="27"/>
        <v>Determina 574 del 27/09/2019</v>
      </c>
      <c r="E405" s="27" t="s">
        <v>632</v>
      </c>
      <c r="F405" s="5" t="s">
        <v>12</v>
      </c>
      <c r="G405" s="9" t="s">
        <v>149</v>
      </c>
      <c r="H405" s="10"/>
      <c r="I405" s="10"/>
      <c r="J405" s="10"/>
      <c r="K405" s="10"/>
    </row>
    <row r="406" ht="30.0" customHeight="1">
      <c r="A406" s="4" t="s">
        <v>36</v>
      </c>
      <c r="B406" s="35" t="s">
        <v>37</v>
      </c>
      <c r="C406" s="44">
        <v>10800.0</v>
      </c>
      <c r="D406" s="7" t="str">
        <f t="shared" si="27"/>
        <v>Determina 574 del 27/09/2019</v>
      </c>
      <c r="E406" s="27" t="s">
        <v>634</v>
      </c>
      <c r="F406" s="5" t="s">
        <v>12</v>
      </c>
      <c r="G406" s="9" t="s">
        <v>149</v>
      </c>
      <c r="H406" s="10"/>
      <c r="I406" s="10"/>
      <c r="J406" s="10"/>
      <c r="K406" s="10"/>
    </row>
    <row r="407" ht="30.0" customHeight="1">
      <c r="A407" s="4" t="s">
        <v>250</v>
      </c>
      <c r="B407" s="35" t="s">
        <v>251</v>
      </c>
      <c r="C407" s="44">
        <v>20081.0</v>
      </c>
      <c r="D407" s="7" t="str">
        <f t="shared" si="27"/>
        <v>Determina 574 del 27/09/2019</v>
      </c>
      <c r="E407" s="27" t="s">
        <v>503</v>
      </c>
      <c r="F407" s="5" t="s">
        <v>12</v>
      </c>
      <c r="G407" s="9" t="s">
        <v>149</v>
      </c>
      <c r="H407" s="10"/>
      <c r="I407" s="10"/>
      <c r="J407" s="10"/>
      <c r="K407" s="10"/>
    </row>
    <row r="408" ht="30.0" customHeight="1">
      <c r="A408" s="4" t="s">
        <v>136</v>
      </c>
      <c r="B408" s="35" t="s">
        <v>137</v>
      </c>
      <c r="C408" s="44">
        <v>21312.0</v>
      </c>
      <c r="D408" s="7" t="str">
        <f t="shared" si="27"/>
        <v>Determina 574 del 27/09/2019</v>
      </c>
      <c r="E408" s="27" t="s">
        <v>503</v>
      </c>
      <c r="F408" s="5" t="s">
        <v>12</v>
      </c>
      <c r="G408" s="9" t="s">
        <v>149</v>
      </c>
      <c r="H408" s="10"/>
      <c r="I408" s="10"/>
      <c r="J408" s="10"/>
      <c r="K408" s="10"/>
    </row>
    <row r="409" ht="30.0" customHeight="1">
      <c r="A409" s="4" t="s">
        <v>345</v>
      </c>
      <c r="B409" s="35" t="s">
        <v>346</v>
      </c>
      <c r="C409" s="44">
        <v>21600.0</v>
      </c>
      <c r="D409" s="7" t="str">
        <f t="shared" si="27"/>
        <v>Determina 574 del 27/09/2019</v>
      </c>
      <c r="E409" s="27" t="s">
        <v>503</v>
      </c>
      <c r="F409" s="5" t="s">
        <v>12</v>
      </c>
      <c r="G409" s="9" t="s">
        <v>149</v>
      </c>
      <c r="H409" s="10"/>
      <c r="I409" s="10"/>
      <c r="J409" s="10"/>
      <c r="K409" s="10"/>
    </row>
    <row r="410" ht="30.0" customHeight="1">
      <c r="A410" s="4" t="s">
        <v>78</v>
      </c>
      <c r="B410" s="35" t="s">
        <v>79</v>
      </c>
      <c r="C410" s="44">
        <v>10800.0</v>
      </c>
      <c r="D410" s="7" t="str">
        <f t="shared" si="27"/>
        <v>Determina 574 del 27/09/2019</v>
      </c>
      <c r="E410" s="27" t="s">
        <v>635</v>
      </c>
      <c r="F410" s="5" t="s">
        <v>12</v>
      </c>
      <c r="G410" s="9" t="s">
        <v>149</v>
      </c>
      <c r="H410" s="10"/>
      <c r="I410" s="10"/>
      <c r="J410" s="10"/>
      <c r="K410" s="10"/>
    </row>
    <row r="411" ht="30.0" customHeight="1">
      <c r="A411" s="4" t="s">
        <v>167</v>
      </c>
      <c r="B411" s="35" t="s">
        <v>168</v>
      </c>
      <c r="C411" s="44">
        <v>6480.0</v>
      </c>
      <c r="D411" s="7" t="str">
        <f t="shared" si="27"/>
        <v>Determina 574 del 27/09/2019</v>
      </c>
      <c r="E411" s="27" t="s">
        <v>634</v>
      </c>
      <c r="F411" s="5" t="s">
        <v>12</v>
      </c>
      <c r="G411" s="9" t="s">
        <v>149</v>
      </c>
      <c r="H411" s="10"/>
      <c r="I411" s="10"/>
      <c r="J411" s="10"/>
      <c r="K411" s="10"/>
    </row>
    <row r="412" ht="30.0" customHeight="1">
      <c r="A412" s="4" t="s">
        <v>167</v>
      </c>
      <c r="B412" s="35" t="s">
        <v>168</v>
      </c>
      <c r="C412" s="44">
        <v>5760.0</v>
      </c>
      <c r="D412" s="7" t="str">
        <f t="shared" si="27"/>
        <v>Determina 574 del 27/09/2019</v>
      </c>
      <c r="E412" s="27" t="s">
        <v>636</v>
      </c>
      <c r="F412" s="5" t="s">
        <v>12</v>
      </c>
      <c r="G412" s="9" t="s">
        <v>149</v>
      </c>
      <c r="H412" s="10"/>
      <c r="I412" s="10"/>
      <c r="J412" s="10"/>
      <c r="K412" s="10"/>
    </row>
    <row r="413" ht="30.0" customHeight="1">
      <c r="A413" s="4" t="s">
        <v>220</v>
      </c>
      <c r="B413" s="35" t="s">
        <v>221</v>
      </c>
      <c r="C413" s="44">
        <v>21600.0</v>
      </c>
      <c r="D413" s="7" t="str">
        <f t="shared" si="27"/>
        <v>Determina 574 del 27/09/2019</v>
      </c>
      <c r="E413" s="27" t="s">
        <v>629</v>
      </c>
      <c r="F413" s="5" t="s">
        <v>12</v>
      </c>
      <c r="G413" s="9" t="s">
        <v>149</v>
      </c>
      <c r="H413" s="10"/>
      <c r="I413" s="10"/>
      <c r="J413" s="10"/>
      <c r="K413" s="10"/>
    </row>
    <row r="414" ht="30.0" customHeight="1">
      <c r="A414" s="4" t="s">
        <v>169</v>
      </c>
      <c r="B414" s="35" t="s">
        <v>170</v>
      </c>
      <c r="C414" s="44">
        <v>7200.0</v>
      </c>
      <c r="D414" s="7" t="str">
        <f t="shared" si="27"/>
        <v>Determina 574 del 27/09/2019</v>
      </c>
      <c r="E414" s="27" t="s">
        <v>632</v>
      </c>
      <c r="F414" s="5" t="s">
        <v>12</v>
      </c>
      <c r="G414" s="9" t="s">
        <v>149</v>
      </c>
      <c r="H414" s="10"/>
      <c r="I414" s="10"/>
      <c r="J414" s="10"/>
      <c r="K414" s="10"/>
    </row>
    <row r="415" ht="30.0" customHeight="1">
      <c r="A415" s="4" t="s">
        <v>305</v>
      </c>
      <c r="B415" s="35" t="s">
        <v>306</v>
      </c>
      <c r="C415" s="44">
        <v>21600.0</v>
      </c>
      <c r="D415" s="7" t="str">
        <f t="shared" si="27"/>
        <v>Determina 574 del 27/09/2019</v>
      </c>
      <c r="E415" s="27" t="s">
        <v>504</v>
      </c>
      <c r="F415" s="5" t="s">
        <v>12</v>
      </c>
      <c r="G415" s="9" t="s">
        <v>149</v>
      </c>
      <c r="H415" s="10"/>
      <c r="I415" s="10"/>
      <c r="J415" s="10"/>
      <c r="K415" s="10"/>
    </row>
    <row r="416" ht="30.0" customHeight="1">
      <c r="A416" s="4" t="s">
        <v>171</v>
      </c>
      <c r="B416" s="35" t="s">
        <v>172</v>
      </c>
      <c r="C416" s="44">
        <v>6744.0</v>
      </c>
      <c r="D416" s="7" t="str">
        <f t="shared" si="27"/>
        <v>Determina 574 del 27/09/2019</v>
      </c>
      <c r="E416" s="27" t="s">
        <v>632</v>
      </c>
      <c r="F416" s="5" t="s">
        <v>12</v>
      </c>
      <c r="G416" s="9" t="s">
        <v>149</v>
      </c>
      <c r="H416" s="10"/>
      <c r="I416" s="10"/>
      <c r="J416" s="10"/>
      <c r="K416" s="10"/>
    </row>
    <row r="417" ht="30.0" customHeight="1">
      <c r="A417" s="4" t="s">
        <v>143</v>
      </c>
      <c r="B417" s="35" t="s">
        <v>144</v>
      </c>
      <c r="C417" s="44">
        <v>21600.0</v>
      </c>
      <c r="D417" s="7" t="str">
        <f t="shared" si="27"/>
        <v>Determina 574 del 27/09/2019</v>
      </c>
      <c r="E417" s="27" t="s">
        <v>504</v>
      </c>
      <c r="F417" s="5" t="s">
        <v>12</v>
      </c>
      <c r="G417" s="9" t="s">
        <v>149</v>
      </c>
      <c r="H417" s="10"/>
      <c r="I417" s="10"/>
      <c r="J417" s="10"/>
      <c r="K417" s="10"/>
    </row>
    <row r="418" ht="30.0" customHeight="1">
      <c r="A418" s="4" t="s">
        <v>228</v>
      </c>
      <c r="B418" s="35" t="s">
        <v>229</v>
      </c>
      <c r="C418" s="44">
        <v>16200.0</v>
      </c>
      <c r="D418" s="7" t="str">
        <f t="shared" si="27"/>
        <v>Determina 574 del 27/09/2019</v>
      </c>
      <c r="E418" s="27" t="s">
        <v>630</v>
      </c>
      <c r="F418" s="5" t="s">
        <v>12</v>
      </c>
      <c r="G418" s="9" t="s">
        <v>149</v>
      </c>
      <c r="H418" s="10"/>
      <c r="I418" s="10"/>
      <c r="J418" s="10"/>
      <c r="K418" s="10"/>
    </row>
    <row r="419" ht="30.0" customHeight="1">
      <c r="A419" s="4" t="s">
        <v>75</v>
      </c>
      <c r="B419" s="35" t="s">
        <v>76</v>
      </c>
      <c r="C419" s="44">
        <v>19800.0</v>
      </c>
      <c r="D419" s="7" t="str">
        <f t="shared" si="27"/>
        <v>Determina 574 del 27/09/2019</v>
      </c>
      <c r="E419" s="27" t="s">
        <v>637</v>
      </c>
      <c r="F419" s="5" t="s">
        <v>12</v>
      </c>
      <c r="G419" s="9" t="s">
        <v>149</v>
      </c>
      <c r="H419" s="10"/>
      <c r="I419" s="10"/>
      <c r="J419" s="10"/>
      <c r="K419" s="10"/>
    </row>
    <row r="420" ht="30.0" customHeight="1">
      <c r="A420" s="4" t="s">
        <v>285</v>
      </c>
      <c r="B420" s="35" t="s">
        <v>30</v>
      </c>
      <c r="C420" s="44">
        <v>10800.0</v>
      </c>
      <c r="D420" s="7" t="str">
        <f t="shared" si="27"/>
        <v>Determina 574 del 27/09/2019</v>
      </c>
      <c r="E420" s="27" t="s">
        <v>635</v>
      </c>
      <c r="F420" s="5" t="s">
        <v>12</v>
      </c>
      <c r="G420" s="9" t="s">
        <v>149</v>
      </c>
      <c r="H420" s="10"/>
      <c r="I420" s="10"/>
      <c r="J420" s="10"/>
      <c r="K420" s="10"/>
    </row>
    <row r="421" ht="30.0" customHeight="1">
      <c r="A421" s="4" t="s">
        <v>175</v>
      </c>
      <c r="B421" s="35" t="s">
        <v>176</v>
      </c>
      <c r="C421" s="44">
        <v>10800.0</v>
      </c>
      <c r="D421" s="7" t="str">
        <f t="shared" si="27"/>
        <v>Determina 574 del 27/09/2019</v>
      </c>
      <c r="E421" s="27" t="s">
        <v>634</v>
      </c>
      <c r="F421" s="5" t="s">
        <v>12</v>
      </c>
      <c r="G421" s="9" t="s">
        <v>149</v>
      </c>
      <c r="H421" s="10"/>
      <c r="I421" s="10"/>
      <c r="J421" s="10"/>
      <c r="K421" s="10"/>
    </row>
    <row r="422" ht="30.0" customHeight="1">
      <c r="A422" s="4" t="s">
        <v>102</v>
      </c>
      <c r="B422" s="35" t="s">
        <v>103</v>
      </c>
      <c r="C422" s="44">
        <v>16200.0</v>
      </c>
      <c r="D422" s="7" t="str">
        <f t="shared" si="27"/>
        <v>Determina 574 del 27/09/2019</v>
      </c>
      <c r="E422" s="27" t="s">
        <v>630</v>
      </c>
      <c r="F422" s="5" t="s">
        <v>12</v>
      </c>
      <c r="G422" s="9" t="s">
        <v>149</v>
      </c>
      <c r="H422" s="10"/>
      <c r="I422" s="10"/>
      <c r="J422" s="10"/>
      <c r="K422" s="10"/>
    </row>
    <row r="423" ht="30.0" customHeight="1">
      <c r="A423" s="4" t="s">
        <v>177</v>
      </c>
      <c r="B423" s="35" t="s">
        <v>178</v>
      </c>
      <c r="C423" s="44">
        <v>3600.0</v>
      </c>
      <c r="D423" s="7" t="str">
        <f t="shared" si="27"/>
        <v>Determina 574 del 27/09/2019</v>
      </c>
      <c r="E423" s="27" t="s">
        <v>638</v>
      </c>
      <c r="F423" s="5" t="s">
        <v>12</v>
      </c>
      <c r="G423" s="9" t="s">
        <v>149</v>
      </c>
      <c r="H423" s="10"/>
      <c r="I423" s="10"/>
      <c r="J423" s="10"/>
      <c r="K423" s="10"/>
    </row>
    <row r="424" ht="30.0" customHeight="1">
      <c r="A424" s="4" t="s">
        <v>188</v>
      </c>
      <c r="B424" s="35" t="s">
        <v>189</v>
      </c>
      <c r="C424" s="44">
        <v>21600.0</v>
      </c>
      <c r="D424" s="7" t="str">
        <f t="shared" si="27"/>
        <v>Determina 574 del 27/09/2019</v>
      </c>
      <c r="E424" s="27" t="s">
        <v>504</v>
      </c>
      <c r="F424" s="5" t="s">
        <v>12</v>
      </c>
      <c r="G424" s="9" t="s">
        <v>149</v>
      </c>
      <c r="H424" s="10"/>
      <c r="I424" s="10"/>
      <c r="J424" s="10"/>
      <c r="K424" s="10"/>
    </row>
    <row r="425" ht="30.0" customHeight="1">
      <c r="A425" s="4" t="s">
        <v>90</v>
      </c>
      <c r="B425" s="35" t="s">
        <v>91</v>
      </c>
      <c r="C425" s="44">
        <v>21600.0</v>
      </c>
      <c r="D425" s="7" t="str">
        <f t="shared" si="27"/>
        <v>Determina 574 del 27/09/2019</v>
      </c>
      <c r="E425" s="27" t="s">
        <v>504</v>
      </c>
      <c r="F425" s="5" t="s">
        <v>12</v>
      </c>
      <c r="G425" s="9" t="s">
        <v>149</v>
      </c>
      <c r="H425" s="10"/>
      <c r="I425" s="10"/>
      <c r="J425" s="10"/>
      <c r="K425" s="10"/>
    </row>
    <row r="426" ht="30.0" customHeight="1">
      <c r="A426" s="4" t="s">
        <v>244</v>
      </c>
      <c r="B426" s="35" t="s">
        <v>245</v>
      </c>
      <c r="C426" s="44">
        <v>34400.0</v>
      </c>
      <c r="D426" s="7" t="str">
        <f>HYPERLINK("http://www.usrc.it/AppRendiConta/det_575_20191002.pdf                                                            ","Determina 575 del 02/10/2019")</f>
        <v>Determina 575 del 02/10/2019</v>
      </c>
      <c r="E426" s="27" t="s">
        <v>639</v>
      </c>
      <c r="F426" s="5" t="s">
        <v>12</v>
      </c>
      <c r="G426" s="9" t="s">
        <v>191</v>
      </c>
      <c r="H426" s="10"/>
      <c r="I426" s="10"/>
      <c r="J426" s="10"/>
      <c r="K426" s="10"/>
    </row>
    <row r="427" ht="30.0" customHeight="1">
      <c r="A427" s="4" t="s">
        <v>274</v>
      </c>
      <c r="B427" s="35" t="s">
        <v>275</v>
      </c>
      <c r="C427" s="44">
        <v>2856643.03</v>
      </c>
      <c r="D427" s="7" t="str">
        <f t="shared" ref="D427:D428" si="28">HYPERLINK("http://www.usrc.it/AppRendiConta/det_576_20191003.pdf                                                            ","Determina 576 del 03/10/2019")</f>
        <v>Determina 576 del 03/10/2019</v>
      </c>
      <c r="E427" s="27" t="s">
        <v>640</v>
      </c>
      <c r="F427" s="5" t="s">
        <v>12</v>
      </c>
      <c r="G427" s="9" t="s">
        <v>622</v>
      </c>
      <c r="H427" s="10"/>
      <c r="I427" s="10"/>
      <c r="J427" s="10"/>
      <c r="K427" s="10"/>
    </row>
    <row r="428" ht="30.0" customHeight="1">
      <c r="A428" s="4" t="s">
        <v>274</v>
      </c>
      <c r="B428" s="35" t="s">
        <v>275</v>
      </c>
      <c r="C428" s="44">
        <v>767559.83</v>
      </c>
      <c r="D428" s="7" t="str">
        <f t="shared" si="28"/>
        <v>Determina 576 del 03/10/2019</v>
      </c>
      <c r="E428" s="27" t="s">
        <v>640</v>
      </c>
      <c r="F428" s="5" t="s">
        <v>12</v>
      </c>
      <c r="G428" s="9" t="s">
        <v>641</v>
      </c>
      <c r="H428" s="10"/>
      <c r="I428" s="10"/>
      <c r="J428" s="10"/>
      <c r="K428" s="10"/>
    </row>
    <row r="429" ht="30.0" customHeight="1">
      <c r="A429" s="4" t="s">
        <v>98</v>
      </c>
      <c r="B429" s="35" t="s">
        <v>99</v>
      </c>
      <c r="C429" s="44">
        <v>2230610.56</v>
      </c>
      <c r="D429" s="7" t="str">
        <f>HYPERLINK("http://www.usrc.it/AppRendiConta/det_577_20191003.pdf","Determina 577 del 03/10/2019")</f>
        <v>Determina 577 del 03/10/2019</v>
      </c>
      <c r="E429" s="27" t="s">
        <v>642</v>
      </c>
      <c r="F429" s="5" t="s">
        <v>12</v>
      </c>
      <c r="G429" s="9" t="s">
        <v>479</v>
      </c>
      <c r="H429" s="10"/>
      <c r="I429" s="10"/>
      <c r="J429" s="10"/>
      <c r="K429" s="10"/>
    </row>
    <row r="430" ht="30.0" customHeight="1">
      <c r="A430" s="4" t="s">
        <v>124</v>
      </c>
      <c r="B430" s="35" t="s">
        <v>125</v>
      </c>
      <c r="C430" s="44">
        <v>10000.0</v>
      </c>
      <c r="D430" s="7" t="str">
        <f>HYPERLINK("http://www.usrc.it/AppRendiConta/det_578_20191004.pdf","Determina 578 del 04/10/2019")</f>
        <v>Determina 578 del 04/10/2019</v>
      </c>
      <c r="E430" s="27" t="s">
        <v>643</v>
      </c>
      <c r="F430" s="5" t="s">
        <v>12</v>
      </c>
      <c r="G430" s="9" t="s">
        <v>442</v>
      </c>
      <c r="H430" s="10"/>
      <c r="I430" s="10"/>
      <c r="J430" s="10"/>
      <c r="K430" s="10"/>
    </row>
    <row r="431" ht="30.0" customHeight="1">
      <c r="A431" s="4" t="s">
        <v>217</v>
      </c>
      <c r="B431" s="35" t="s">
        <v>218</v>
      </c>
      <c r="C431" s="44">
        <v>2350.0</v>
      </c>
      <c r="D431" s="7" t="str">
        <f>HYPERLINK("http://www.usrc.it/AppRendiConta/det_579_20191004.pdf","Determina 579 del 04/10/2019")</f>
        <v>Determina 579 del 04/10/2019</v>
      </c>
      <c r="E431" s="27" t="s">
        <v>644</v>
      </c>
      <c r="F431" s="5" t="s">
        <v>12</v>
      </c>
      <c r="G431" s="9" t="s">
        <v>200</v>
      </c>
      <c r="H431" s="10"/>
      <c r="I431" s="10"/>
      <c r="J431" s="10"/>
      <c r="K431" s="10"/>
    </row>
    <row r="432" ht="30.0" customHeight="1">
      <c r="A432" s="4" t="s">
        <v>545</v>
      </c>
      <c r="B432" s="35" t="s">
        <v>546</v>
      </c>
      <c r="C432" s="44">
        <v>8800.0</v>
      </c>
      <c r="D432" s="7" t="str">
        <f>HYPERLINK("http://www.usrc.it/AppRendiConta/det_580_20191004.pdf","Determina 580 del 04/10/2019")</f>
        <v>Determina 580 del 04/10/2019</v>
      </c>
      <c r="E432" s="27" t="s">
        <v>645</v>
      </c>
      <c r="F432" s="5" t="s">
        <v>12</v>
      </c>
      <c r="G432" s="9" t="s">
        <v>200</v>
      </c>
      <c r="H432" s="10"/>
      <c r="I432" s="10"/>
      <c r="J432" s="10"/>
      <c r="K432" s="10"/>
    </row>
    <row r="433" ht="30.0" customHeight="1">
      <c r="A433" s="4" t="s">
        <v>618</v>
      </c>
      <c r="B433" s="35" t="s">
        <v>646</v>
      </c>
      <c r="C433" s="44">
        <v>24320.0</v>
      </c>
      <c r="D433" s="7" t="str">
        <f>HYPERLINK("http://www.usrc.it/AppRendiConta/det_581_20191004.pdf","Determina 581 del 04/10/2019")</f>
        <v>Determina 581 del 04/10/2019</v>
      </c>
      <c r="E433" s="27" t="s">
        <v>647</v>
      </c>
      <c r="F433" s="5" t="s">
        <v>12</v>
      </c>
      <c r="G433" s="9" t="s">
        <v>442</v>
      </c>
      <c r="H433" s="10"/>
      <c r="I433" s="10"/>
      <c r="J433" s="10"/>
      <c r="K433" s="10"/>
    </row>
    <row r="434" ht="30.0" customHeight="1">
      <c r="A434" s="4" t="s">
        <v>555</v>
      </c>
      <c r="B434" s="35" t="s">
        <v>556</v>
      </c>
      <c r="C434" s="44">
        <v>2276.0</v>
      </c>
      <c r="D434" s="7" t="str">
        <f>HYPERLINK("http://www.usrc.it/AppRendiConta/det_582_20191004.pdf","Determina 582 del 04/10/2019")</f>
        <v>Determina 582 del 04/10/2019</v>
      </c>
      <c r="E434" s="27" t="s">
        <v>648</v>
      </c>
      <c r="F434" s="5" t="s">
        <v>12</v>
      </c>
      <c r="G434" s="9" t="s">
        <v>442</v>
      </c>
      <c r="H434" s="10"/>
      <c r="I434" s="10"/>
      <c r="J434" s="10"/>
      <c r="K434" s="10"/>
    </row>
    <row r="435" ht="30.0" customHeight="1">
      <c r="A435" s="4" t="s">
        <v>316</v>
      </c>
      <c r="B435" s="35" t="s">
        <v>317</v>
      </c>
      <c r="C435" s="44">
        <v>45822.35</v>
      </c>
      <c r="D435" s="7" t="str">
        <f>HYPERLINK("http://www.usrc.it/AppRendiConta/det_583_20191004.pdf","Determina 583 del 04/10/2019")</f>
        <v>Determina 583 del 04/10/2019</v>
      </c>
      <c r="E435" s="27" t="s">
        <v>649</v>
      </c>
      <c r="F435" s="5" t="s">
        <v>12</v>
      </c>
      <c r="G435" s="9" t="s">
        <v>442</v>
      </c>
      <c r="H435" s="10"/>
      <c r="I435" s="10"/>
      <c r="J435" s="10"/>
      <c r="K435" s="10"/>
    </row>
    <row r="436" ht="30.0" customHeight="1">
      <c r="A436" s="4" t="s">
        <v>282</v>
      </c>
      <c r="B436" s="35" t="s">
        <v>283</v>
      </c>
      <c r="C436" s="44">
        <v>7200.0</v>
      </c>
      <c r="D436" s="7" t="str">
        <f>HYPERLINK("http://www.usrc.it/AppRendiConta/det_584_20191004.pdf","Determina 584 del 04/10/2019")</f>
        <v>Determina 584 del 04/10/2019</v>
      </c>
      <c r="E436" s="27" t="s">
        <v>650</v>
      </c>
      <c r="F436" s="5" t="s">
        <v>12</v>
      </c>
      <c r="G436" s="9" t="s">
        <v>442</v>
      </c>
      <c r="H436" s="10"/>
      <c r="I436" s="10"/>
      <c r="J436" s="10"/>
      <c r="K436" s="10"/>
    </row>
    <row r="437" ht="30.0" customHeight="1">
      <c r="A437" s="4" t="s">
        <v>651</v>
      </c>
      <c r="B437" s="35" t="s">
        <v>652</v>
      </c>
      <c r="C437" s="44">
        <v>6000.0</v>
      </c>
      <c r="D437" s="7" t="str">
        <f>HYPERLINK("http://www.usrc.it/AppRendiConta/det_585_20191004.pdf","Determina 585 del 04/10/2019")</f>
        <v>Determina 585 del 04/10/2019</v>
      </c>
      <c r="E437" s="27" t="s">
        <v>653</v>
      </c>
      <c r="F437" s="5" t="s">
        <v>12</v>
      </c>
      <c r="G437" s="9" t="s">
        <v>442</v>
      </c>
      <c r="H437" s="10"/>
      <c r="I437" s="10"/>
      <c r="J437" s="10"/>
      <c r="K437" s="10"/>
    </row>
    <row r="438" ht="30.0" customHeight="1">
      <c r="A438" s="4" t="s">
        <v>409</v>
      </c>
      <c r="B438" s="35" t="s">
        <v>410</v>
      </c>
      <c r="C438" s="44">
        <v>600.0</v>
      </c>
      <c r="D438" s="7" t="str">
        <f>HYPERLINK("http://www.usrc.it/AppRendiConta/det_586_20191004.pdf","Determina 586 del 04/10/2019")</f>
        <v>Determina 586 del 04/10/2019</v>
      </c>
      <c r="E438" s="27" t="s">
        <v>654</v>
      </c>
      <c r="F438" s="5" t="s">
        <v>12</v>
      </c>
      <c r="G438" s="9" t="s">
        <v>442</v>
      </c>
      <c r="H438" s="10"/>
      <c r="I438" s="10"/>
      <c r="J438" s="10"/>
      <c r="K438" s="10"/>
    </row>
    <row r="439" ht="30.0" customHeight="1">
      <c r="A439" s="4" t="s">
        <v>379</v>
      </c>
      <c r="B439" s="35" t="s">
        <v>380</v>
      </c>
      <c r="C439" s="44">
        <v>2400.0</v>
      </c>
      <c r="D439" s="7" t="str">
        <f>HYPERLINK("http://www.usrc.it/AppRendiConta/det_587_20191004.pdf","Determina 587 del 04/10/2019")</f>
        <v>Determina 587 del 04/10/2019</v>
      </c>
      <c r="E439" s="27" t="s">
        <v>655</v>
      </c>
      <c r="F439" s="5" t="s">
        <v>12</v>
      </c>
      <c r="G439" s="9" t="s">
        <v>442</v>
      </c>
      <c r="H439" s="10"/>
      <c r="I439" s="10"/>
      <c r="J439" s="10"/>
      <c r="K439" s="10"/>
    </row>
    <row r="440" ht="30.0" customHeight="1">
      <c r="A440" s="4" t="s">
        <v>220</v>
      </c>
      <c r="B440" s="35" t="s">
        <v>221</v>
      </c>
      <c r="C440" s="44">
        <v>4800.0</v>
      </c>
      <c r="D440" s="7" t="str">
        <f>HYPERLINK("http://www.usrc.it/AppRendiConta/det_595_20191009.pdf","Determina 595 del 09/10/2019")</f>
        <v>Determina 595 del 09/10/2019</v>
      </c>
      <c r="E440" s="27" t="s">
        <v>656</v>
      </c>
      <c r="F440" s="5" t="s">
        <v>12</v>
      </c>
      <c r="G440" s="9" t="s">
        <v>200</v>
      </c>
      <c r="H440" s="10"/>
      <c r="I440" s="10"/>
      <c r="J440" s="10"/>
      <c r="K440" s="10"/>
    </row>
    <row r="441" ht="30.0" customHeight="1">
      <c r="A441" s="4" t="s">
        <v>244</v>
      </c>
      <c r="B441" s="35" t="s">
        <v>245</v>
      </c>
      <c r="C441" s="44">
        <v>1100.0</v>
      </c>
      <c r="D441" s="7" t="str">
        <f>HYPERLINK("http://www.usrc.it/AppRendiConta/det_596_20191009.pdf","Determina 596 del 09/10/2019")</f>
        <v>Determina 596 del 09/10/2019</v>
      </c>
      <c r="E441" s="27" t="s">
        <v>657</v>
      </c>
      <c r="F441" s="5" t="s">
        <v>12</v>
      </c>
      <c r="G441" s="9" t="s">
        <v>200</v>
      </c>
      <c r="H441" s="10"/>
      <c r="I441" s="10"/>
      <c r="J441" s="10"/>
      <c r="K441" s="10"/>
    </row>
    <row r="442" ht="30.0" customHeight="1">
      <c r="A442" s="4" t="s">
        <v>217</v>
      </c>
      <c r="B442" s="35" t="s">
        <v>218</v>
      </c>
      <c r="C442" s="44">
        <v>22200.0</v>
      </c>
      <c r="D442" s="7" t="str">
        <f>HYPERLINK("http://www.usrc.it/AppRendiConta/det_597_20191009.pdf","Determina 597 del 09/10/2019")</f>
        <v>Determina 597 del 09/10/2019</v>
      </c>
      <c r="E442" s="27" t="s">
        <v>658</v>
      </c>
      <c r="F442" s="5" t="s">
        <v>12</v>
      </c>
      <c r="G442" s="9" t="s">
        <v>200</v>
      </c>
      <c r="H442" s="10"/>
      <c r="I442" s="10"/>
      <c r="J442" s="10"/>
      <c r="K442" s="10"/>
    </row>
    <row r="443" ht="30.0" customHeight="1">
      <c r="A443" s="4" t="s">
        <v>555</v>
      </c>
      <c r="B443" s="35" t="s">
        <v>556</v>
      </c>
      <c r="C443" s="44">
        <v>76.0</v>
      </c>
      <c r="D443" s="7" t="str">
        <f>HYPERLINK("http://www.usrc.it/AppRendiConta/det_598_20191009.pdf","Determina 598 del 09/10/2019")</f>
        <v>Determina 598 del 09/10/2019</v>
      </c>
      <c r="E443" s="27" t="s">
        <v>659</v>
      </c>
      <c r="F443" s="5" t="s">
        <v>12</v>
      </c>
      <c r="G443" s="9" t="s">
        <v>200</v>
      </c>
      <c r="H443" s="10"/>
      <c r="I443" s="10"/>
      <c r="J443" s="10"/>
      <c r="K443" s="10"/>
    </row>
    <row r="444" ht="30.0" customHeight="1">
      <c r="A444" s="4" t="s">
        <v>379</v>
      </c>
      <c r="B444" s="35" t="s">
        <v>380</v>
      </c>
      <c r="C444" s="44">
        <v>1600.0</v>
      </c>
      <c r="D444" s="7" t="str">
        <f>HYPERLINK("http://www.usrc.it/AppRendiConta/det_599_20191009.pdf","Determina 599 del 09/10/2019")</f>
        <v>Determina 599 del 09/10/2019</v>
      </c>
      <c r="E444" s="27" t="s">
        <v>660</v>
      </c>
      <c r="F444" s="5" t="s">
        <v>12</v>
      </c>
      <c r="G444" s="9" t="s">
        <v>200</v>
      </c>
      <c r="H444" s="10"/>
      <c r="I444" s="10"/>
      <c r="J444" s="10"/>
      <c r="K444" s="10"/>
    </row>
    <row r="445" ht="30.0" customHeight="1">
      <c r="A445" s="4" t="s">
        <v>661</v>
      </c>
      <c r="B445" s="35" t="s">
        <v>662</v>
      </c>
      <c r="C445" s="44">
        <v>11233.59</v>
      </c>
      <c r="D445" s="7" t="str">
        <f t="shared" ref="D445:D446" si="29">HYPERLINK("http://www.usrc.it/AppRendiConta/det_600_20191009.pdf","Determina 600 del 09/10/2019")</f>
        <v>Determina 600 del 09/10/2019</v>
      </c>
      <c r="E445" s="27" t="s">
        <v>663</v>
      </c>
      <c r="F445" s="5" t="s">
        <v>12</v>
      </c>
      <c r="G445" s="9" t="s">
        <v>664</v>
      </c>
      <c r="H445" s="10"/>
      <c r="I445" s="10"/>
      <c r="J445" s="10"/>
      <c r="K445" s="10"/>
    </row>
    <row r="446" ht="30.0" customHeight="1">
      <c r="A446" s="4" t="s">
        <v>661</v>
      </c>
      <c r="B446" s="35" t="s">
        <v>662</v>
      </c>
      <c r="C446" s="44">
        <v>74269.99</v>
      </c>
      <c r="D446" s="7" t="str">
        <f t="shared" si="29"/>
        <v>Determina 600 del 09/10/2019</v>
      </c>
      <c r="E446" s="27" t="s">
        <v>663</v>
      </c>
      <c r="F446" s="5" t="s">
        <v>12</v>
      </c>
      <c r="G446" s="9" t="s">
        <v>621</v>
      </c>
      <c r="H446" s="10"/>
      <c r="I446" s="10"/>
      <c r="J446" s="10"/>
      <c r="K446" s="10"/>
    </row>
    <row r="447" ht="30.0" customHeight="1">
      <c r="A447" s="4" t="s">
        <v>66</v>
      </c>
      <c r="B447" s="35" t="s">
        <v>67</v>
      </c>
      <c r="C447" s="44">
        <v>27602.4</v>
      </c>
      <c r="D447" s="7" t="str">
        <f>HYPERLINK("http://www.usrc.it/AppRendiConta/det_608_20191011.pdf","Determina 608 del 11/10/2019")</f>
        <v>Determina 608 del 11/10/2019</v>
      </c>
      <c r="E447" s="27" t="s">
        <v>665</v>
      </c>
      <c r="F447" s="5" t="s">
        <v>12</v>
      </c>
      <c r="G447" s="9" t="s">
        <v>21</v>
      </c>
      <c r="H447" s="10"/>
      <c r="I447" s="10"/>
      <c r="J447" s="10"/>
      <c r="K447" s="10"/>
    </row>
    <row r="448" ht="30.0" customHeight="1">
      <c r="A448" s="4" t="s">
        <v>460</v>
      </c>
      <c r="B448" s="35" t="s">
        <v>461</v>
      </c>
      <c r="C448" s="44">
        <v>105841.0</v>
      </c>
      <c r="D448" s="7" t="str">
        <f>HYPERLINK("http://www.usrc.it/AppRendiConta/det_610_20191011.pdf","Determina 610 del 11/10/2019")</f>
        <v>Determina 610 del 11/10/2019</v>
      </c>
      <c r="E448" s="27" t="s">
        <v>666</v>
      </c>
      <c r="F448" s="5" t="s">
        <v>12</v>
      </c>
      <c r="G448" s="9" t="s">
        <v>667</v>
      </c>
      <c r="H448" s="10"/>
      <c r="I448" s="10"/>
      <c r="J448" s="10"/>
      <c r="K448" s="10"/>
    </row>
    <row r="449" ht="30.0" customHeight="1">
      <c r="A449" s="4" t="s">
        <v>29</v>
      </c>
      <c r="B449" s="35" t="s">
        <v>30</v>
      </c>
      <c r="C449" s="44">
        <v>79655.19</v>
      </c>
      <c r="D449" s="7" t="str">
        <f>HYPERLINK("http://www.usrc.it/AppRendiConta/det_611_20191014.pdf","Determina 611 del 14/10/2019")</f>
        <v>Determina 611 del 14/10/2019</v>
      </c>
      <c r="E449" s="27" t="s">
        <v>668</v>
      </c>
      <c r="F449" s="5" t="s">
        <v>12</v>
      </c>
      <c r="G449" s="9" t="s">
        <v>669</v>
      </c>
      <c r="H449" s="10"/>
      <c r="I449" s="10"/>
      <c r="J449" s="10"/>
      <c r="K449" s="10"/>
    </row>
    <row r="450" ht="30.0" customHeight="1">
      <c r="A450" s="4" t="s">
        <v>102</v>
      </c>
      <c r="B450" s="35" t="s">
        <v>103</v>
      </c>
      <c r="C450" s="44">
        <v>62487.71</v>
      </c>
      <c r="D450" s="7" t="str">
        <f>HYPERLINK("http://www.usrc.it/AppRendiConta/det_612_20191014.pdf","Determina 612 del 14/10/2019")</f>
        <v>Determina 612 del 14/10/2019</v>
      </c>
      <c r="E450" s="27" t="s">
        <v>670</v>
      </c>
      <c r="F450" s="5" t="s">
        <v>12</v>
      </c>
      <c r="G450" s="9" t="s">
        <v>21</v>
      </c>
      <c r="H450" s="10"/>
      <c r="I450" s="10"/>
      <c r="J450" s="10"/>
      <c r="K450" s="10"/>
    </row>
    <row r="451" ht="30.0" customHeight="1">
      <c r="A451" s="4" t="s">
        <v>133</v>
      </c>
      <c r="B451" s="35" t="s">
        <v>134</v>
      </c>
      <c r="C451" s="44">
        <v>12950.96</v>
      </c>
      <c r="D451" s="7" t="str">
        <f>HYPERLINK("http://www.usrc.it/AppRendiConta/det_613_20191014.pdf","Determina 613 del 14/10/2019")</f>
        <v>Determina 613 del 14/10/2019</v>
      </c>
      <c r="E451" s="27" t="s">
        <v>671</v>
      </c>
      <c r="F451" s="5" t="s">
        <v>12</v>
      </c>
      <c r="G451" s="9" t="s">
        <v>21</v>
      </c>
      <c r="H451" s="10"/>
      <c r="I451" s="10"/>
      <c r="J451" s="10"/>
      <c r="K451" s="10"/>
    </row>
    <row r="452" ht="30.0" customHeight="1">
      <c r="A452" s="4" t="s">
        <v>415</v>
      </c>
      <c r="B452" s="35" t="s">
        <v>180</v>
      </c>
      <c r="C452" s="44">
        <v>2124904.98</v>
      </c>
      <c r="D452" s="7" t="str">
        <f>HYPERLINK("http://www.usrc.it/AppRendiConta/det_614_20191014.pdf","Determina 614 del 14/10/2019")</f>
        <v>Determina 614 del 14/10/2019</v>
      </c>
      <c r="E452" s="27" t="s">
        <v>672</v>
      </c>
      <c r="F452" s="5" t="s">
        <v>12</v>
      </c>
      <c r="G452" s="9" t="s">
        <v>479</v>
      </c>
      <c r="H452" s="10"/>
      <c r="I452" s="10"/>
      <c r="J452" s="10"/>
      <c r="K452" s="10"/>
    </row>
    <row r="453" ht="30.0" customHeight="1">
      <c r="A453" s="4" t="s">
        <v>66</v>
      </c>
      <c r="B453" s="35" t="s">
        <v>67</v>
      </c>
      <c r="C453" s="44">
        <v>4031528.86</v>
      </c>
      <c r="D453" s="7" t="str">
        <f>HYPERLINK("http://www.usrc.it/AppRendiConta/det_615_20191014.pdf","Determina 615 del 14/10/2019")</f>
        <v>Determina 615 del 14/10/2019</v>
      </c>
      <c r="E453" s="27" t="s">
        <v>673</v>
      </c>
      <c r="F453" s="5" t="s">
        <v>12</v>
      </c>
      <c r="G453" s="9" t="s">
        <v>479</v>
      </c>
      <c r="H453" s="10"/>
      <c r="I453" s="10"/>
      <c r="J453" s="10"/>
      <c r="K453" s="10"/>
    </row>
    <row r="454" ht="30.0" customHeight="1">
      <c r="A454" s="4" t="s">
        <v>171</v>
      </c>
      <c r="B454" s="35" t="s">
        <v>172</v>
      </c>
      <c r="C454" s="44">
        <v>1275327.42</v>
      </c>
      <c r="D454" s="7" t="str">
        <f>HYPERLINK("http://www.usrc.it/AppRendiConta/det_616_20191014.pdf","Determina 616 del 14/10/2019")</f>
        <v>Determina 616 del 14/10/2019</v>
      </c>
      <c r="E454" s="27" t="s">
        <v>674</v>
      </c>
      <c r="F454" s="5" t="s">
        <v>12</v>
      </c>
      <c r="G454" s="9" t="s">
        <v>479</v>
      </c>
      <c r="H454" s="10"/>
      <c r="I454" s="10"/>
      <c r="J454" s="10"/>
      <c r="K454" s="10"/>
    </row>
    <row r="455" ht="30.0" customHeight="1">
      <c r="A455" s="4" t="s">
        <v>555</v>
      </c>
      <c r="B455" s="35" t="s">
        <v>556</v>
      </c>
      <c r="C455" s="44">
        <v>347269.03</v>
      </c>
      <c r="D455" s="7" t="str">
        <f>HYPERLINK("http://www.usrc.it/AppRendiConta/det_618_20191015.pdf","Determina 618 del 15/10/2019")</f>
        <v>Determina 618 del 15/10/2019</v>
      </c>
      <c r="E455" s="27" t="s">
        <v>675</v>
      </c>
      <c r="F455" s="5" t="s">
        <v>12</v>
      </c>
      <c r="G455" s="9" t="s">
        <v>622</v>
      </c>
      <c r="H455" s="10"/>
      <c r="I455" s="10"/>
      <c r="J455" s="10"/>
      <c r="K455" s="10"/>
    </row>
    <row r="456" ht="30.0" customHeight="1">
      <c r="A456" s="4" t="s">
        <v>112</v>
      </c>
      <c r="B456" s="35" t="s">
        <v>113</v>
      </c>
      <c r="C456" s="44">
        <v>3412.17</v>
      </c>
      <c r="D456" s="7" t="str">
        <f>HYPERLINK("http://www.usrc.it/AppRendiConta/det_620_20191018.pdf","Determina 620 del 18/10/2019")</f>
        <v>Determina 620 del 18/10/2019</v>
      </c>
      <c r="E456" s="27" t="s">
        <v>676</v>
      </c>
      <c r="F456" s="5" t="s">
        <v>12</v>
      </c>
      <c r="G456" s="9" t="s">
        <v>21</v>
      </c>
      <c r="H456" s="10"/>
      <c r="I456" s="10"/>
      <c r="J456" s="10"/>
      <c r="K456" s="10"/>
    </row>
    <row r="457" ht="30.0" customHeight="1">
      <c r="A457" s="4" t="s">
        <v>138</v>
      </c>
      <c r="B457" s="35" t="s">
        <v>139</v>
      </c>
      <c r="C457" s="44">
        <v>20574.01</v>
      </c>
      <c r="D457" s="7" t="str">
        <f>HYPERLINK("http://www.usrc.it/AppRendiConta/det_621_20191018.pdf","Determina 621 del 18/10/2019")</f>
        <v>Determina 621 del 18/10/2019</v>
      </c>
      <c r="E457" s="27" t="s">
        <v>677</v>
      </c>
      <c r="F457" s="9" t="s">
        <v>12</v>
      </c>
      <c r="G457" s="9" t="s">
        <v>35</v>
      </c>
      <c r="H457" s="10"/>
      <c r="I457" s="10"/>
      <c r="J457" s="10"/>
      <c r="K457" s="10"/>
    </row>
    <row r="458" ht="30.0" customHeight="1">
      <c r="A458" s="4" t="s">
        <v>678</v>
      </c>
      <c r="B458" s="35" t="s">
        <v>679</v>
      </c>
      <c r="C458" s="44">
        <v>112971.88</v>
      </c>
      <c r="D458" s="7" t="str">
        <f>HYPERLINK("http://www.usrc.it/AppRendiConta/det_631_20191022.pdf","Determina 631 del 22/10/2019")</f>
        <v>Determina 631 del 22/10/2019</v>
      </c>
      <c r="E458" s="27" t="s">
        <v>680</v>
      </c>
      <c r="F458" s="5" t="s">
        <v>12</v>
      </c>
      <c r="G458" s="9" t="s">
        <v>622</v>
      </c>
      <c r="H458" s="10"/>
      <c r="I458" s="10"/>
      <c r="J458" s="10"/>
      <c r="K458" s="10"/>
    </row>
    <row r="459" ht="30.0" customHeight="1">
      <c r="A459" s="4" t="s">
        <v>371</v>
      </c>
      <c r="B459" s="35" t="s">
        <v>372</v>
      </c>
      <c r="C459" s="44">
        <v>3564084.11</v>
      </c>
      <c r="D459" s="7" t="str">
        <f>HYPERLINK("http://www.usrc.it/AppRendiConta/det_632_20191023.pdf","Determina 632 del 23/10/2019")</f>
        <v>Determina 632 del 23/10/2019</v>
      </c>
      <c r="E459" s="27" t="s">
        <v>432</v>
      </c>
      <c r="F459" s="5" t="s">
        <v>12</v>
      </c>
      <c r="G459" s="9" t="s">
        <v>622</v>
      </c>
      <c r="H459" s="10"/>
      <c r="I459" s="10"/>
      <c r="J459" s="10"/>
      <c r="K459" s="10"/>
    </row>
    <row r="460" ht="30.0" customHeight="1">
      <c r="A460" s="4" t="s">
        <v>39</v>
      </c>
      <c r="B460" s="35" t="s">
        <v>40</v>
      </c>
      <c r="C460" s="44">
        <v>7324.31</v>
      </c>
      <c r="D460" s="7" t="str">
        <f>HYPERLINK("http://www.usrc.it/AppRendiConta/det_633_20191023.pdf","Determina 633 del 23/10/2019")</f>
        <v>Determina 633 del 23/10/2019</v>
      </c>
      <c r="E460" s="27" t="s">
        <v>681</v>
      </c>
      <c r="F460" s="5" t="s">
        <v>12</v>
      </c>
      <c r="G460" s="9" t="s">
        <v>21</v>
      </c>
      <c r="H460" s="10"/>
      <c r="I460" s="10"/>
      <c r="J460" s="10"/>
      <c r="K460" s="10"/>
    </row>
    <row r="461" ht="30.0" customHeight="1">
      <c r="A461" s="4" t="s">
        <v>398</v>
      </c>
      <c r="B461" s="35" t="s">
        <v>399</v>
      </c>
      <c r="C461" s="44">
        <v>33579.45</v>
      </c>
      <c r="D461" s="7" t="str">
        <f>HYPERLINK("http://www.usrc.it/AppRendiConta/det_634_20191023.pdf","Determina 634 del 23/10/2019")</f>
        <v>Determina 634 del 23/10/2019</v>
      </c>
      <c r="E461" s="27" t="s">
        <v>682</v>
      </c>
      <c r="F461" s="5" t="s">
        <v>12</v>
      </c>
      <c r="G461" s="9" t="s">
        <v>35</v>
      </c>
      <c r="H461" s="10"/>
      <c r="I461" s="10"/>
      <c r="J461" s="10"/>
      <c r="K461" s="10"/>
    </row>
    <row r="462" ht="30.0" customHeight="1">
      <c r="A462" s="4" t="s">
        <v>42</v>
      </c>
      <c r="B462" s="35" t="s">
        <v>43</v>
      </c>
      <c r="C462" s="44">
        <v>30649.96</v>
      </c>
      <c r="D462" s="7" t="str">
        <f>HYPERLINK("http://www.usrc.it/AppRendiConta/det_635_20191023.pdf","Determina 635 del 23/10/2019")</f>
        <v>Determina 635 del 23/10/2019</v>
      </c>
      <c r="E462" s="27" t="s">
        <v>683</v>
      </c>
      <c r="F462" s="5" t="s">
        <v>12</v>
      </c>
      <c r="G462" s="9" t="s">
        <v>21</v>
      </c>
      <c r="H462" s="10"/>
      <c r="I462" s="10"/>
      <c r="J462" s="10"/>
      <c r="K462" s="10"/>
    </row>
    <row r="463" ht="30.0" customHeight="1">
      <c r="A463" s="4" t="s">
        <v>42</v>
      </c>
      <c r="B463" s="35" t="s">
        <v>43</v>
      </c>
      <c r="C463" s="44">
        <v>77059.08</v>
      </c>
      <c r="D463" s="7" t="str">
        <f>HYPERLINK("http://www.usrc.it/AppRendiConta/det_636_20191023.pdf","Determina 636 del 23/10/2019")</f>
        <v>Determina 636 del 23/10/2019</v>
      </c>
      <c r="E463" s="27" t="s">
        <v>684</v>
      </c>
      <c r="F463" s="5" t="s">
        <v>12</v>
      </c>
      <c r="G463" s="9" t="s">
        <v>21</v>
      </c>
      <c r="H463" s="10"/>
      <c r="I463" s="10"/>
      <c r="J463" s="10"/>
      <c r="K463" s="10"/>
    </row>
    <row r="464" ht="30.0" customHeight="1">
      <c r="A464" s="4" t="s">
        <v>39</v>
      </c>
      <c r="B464" s="35" t="s">
        <v>40</v>
      </c>
      <c r="C464" s="44">
        <v>2890329.63</v>
      </c>
      <c r="D464" s="7" t="str">
        <f>HYPERLINK("http://www.usrc.it/AppRendiConta/det_638_20191023.pdf","Determina 638 del 23/10/2019")</f>
        <v>Determina 638 del 23/10/2019</v>
      </c>
      <c r="E464" s="27" t="s">
        <v>685</v>
      </c>
      <c r="F464" s="5" t="s">
        <v>12</v>
      </c>
      <c r="G464" s="9" t="s">
        <v>479</v>
      </c>
      <c r="H464" s="10"/>
      <c r="I464" s="10"/>
      <c r="J464" s="10"/>
      <c r="K464" s="10"/>
    </row>
    <row r="465" ht="30.0" customHeight="1">
      <c r="A465" s="4" t="s">
        <v>305</v>
      </c>
      <c r="B465" s="35" t="s">
        <v>306</v>
      </c>
      <c r="C465" s="44">
        <v>58945.62</v>
      </c>
      <c r="D465" s="7" t="str">
        <f>HYPERLINK("http://www.usrc.it/AppRendiConta/det_640_20191028.pdf","Determina 640 del 28/10/2019")</f>
        <v>Determina 640 del 28/10/2019</v>
      </c>
      <c r="E465" s="27" t="s">
        <v>686</v>
      </c>
      <c r="F465" s="5" t="s">
        <v>12</v>
      </c>
      <c r="G465" s="9" t="s">
        <v>21</v>
      </c>
      <c r="H465" s="10"/>
      <c r="I465" s="10"/>
      <c r="J465" s="10"/>
      <c r="K465" s="10"/>
    </row>
    <row r="466" ht="30.0" customHeight="1">
      <c r="A466" s="4" t="s">
        <v>287</v>
      </c>
      <c r="B466" s="35" t="s">
        <v>288</v>
      </c>
      <c r="C466" s="44">
        <v>4470.0</v>
      </c>
      <c r="D466" s="7" t="str">
        <f>HYPERLINK("http://www.usrc.it/AppRendiConta/det_641_20191028.pdf","Determina 641 del 28/10/2019")</f>
        <v>Determina 641 del 28/10/2019</v>
      </c>
      <c r="E466" s="27" t="s">
        <v>687</v>
      </c>
      <c r="F466" s="5" t="s">
        <v>12</v>
      </c>
      <c r="G466" s="9" t="s">
        <v>21</v>
      </c>
      <c r="H466" s="10"/>
      <c r="I466" s="10"/>
      <c r="J466" s="10"/>
      <c r="K466" s="10"/>
    </row>
    <row r="467" ht="30.0" customHeight="1">
      <c r="A467" s="4" t="s">
        <v>580</v>
      </c>
      <c r="B467" s="35" t="s">
        <v>457</v>
      </c>
      <c r="C467" s="44">
        <v>131492.1</v>
      </c>
      <c r="D467" s="7" t="str">
        <f>HYPERLINK("http://www.usrc.it/AppRendiConta/det_642_20191028.pdf","Determina 642 del 28/10/2019")</f>
        <v>Determina 642 del 28/10/2019</v>
      </c>
      <c r="E467" s="27" t="s">
        <v>688</v>
      </c>
      <c r="F467" s="5" t="s">
        <v>12</v>
      </c>
      <c r="G467" s="9" t="s">
        <v>459</v>
      </c>
      <c r="H467" s="10"/>
      <c r="I467" s="10"/>
      <c r="J467" s="10"/>
      <c r="K467" s="10"/>
    </row>
    <row r="468" ht="30.0" customHeight="1">
      <c r="A468" s="4" t="s">
        <v>95</v>
      </c>
      <c r="B468" s="35" t="s">
        <v>96</v>
      </c>
      <c r="C468" s="44">
        <v>29579.69</v>
      </c>
      <c r="D468" s="7" t="str">
        <f t="shared" ref="D468:D469" si="30">HYPERLINK("http://www.usrc.it/AppRendiConta/det_643_20191028.pdf","Determina 643 del 28/10/2019")</f>
        <v>Determina 643 del 28/10/2019</v>
      </c>
      <c r="E468" s="27" t="s">
        <v>689</v>
      </c>
      <c r="F468" s="5" t="s">
        <v>12</v>
      </c>
      <c r="G468" s="9" t="s">
        <v>624</v>
      </c>
      <c r="H468" s="10"/>
      <c r="I468" s="10"/>
      <c r="J468" s="10"/>
      <c r="K468" s="10"/>
    </row>
    <row r="469" ht="30.0" customHeight="1">
      <c r="A469" s="4" t="s">
        <v>95</v>
      </c>
      <c r="B469" s="35" t="s">
        <v>96</v>
      </c>
      <c r="C469" s="44">
        <v>35781.77</v>
      </c>
      <c r="D469" s="7" t="str">
        <f t="shared" si="30"/>
        <v>Determina 643 del 28/10/2019</v>
      </c>
      <c r="E469" s="27" t="s">
        <v>689</v>
      </c>
      <c r="F469" s="5" t="s">
        <v>12</v>
      </c>
      <c r="G469" s="9" t="s">
        <v>625</v>
      </c>
      <c r="H469" s="10"/>
      <c r="I469" s="10"/>
      <c r="J469" s="10"/>
      <c r="K469" s="10"/>
    </row>
    <row r="470" ht="30.0" customHeight="1">
      <c r="A470" s="4" t="s">
        <v>102</v>
      </c>
      <c r="B470" s="35" t="s">
        <v>103</v>
      </c>
      <c r="C470" s="44">
        <v>2096351.33</v>
      </c>
      <c r="D470" s="7" t="str">
        <f>HYPERLINK("http://www.usrc.it/AppRendiConta/det_648_20191104.pdf","Determina 648 del 04/11/2019")</f>
        <v>Determina 648 del 04/11/2019</v>
      </c>
      <c r="E470" s="27" t="s">
        <v>690</v>
      </c>
      <c r="F470" s="5" t="s">
        <v>12</v>
      </c>
      <c r="G470" s="9" t="s">
        <v>479</v>
      </c>
      <c r="H470" s="10"/>
      <c r="I470" s="10"/>
      <c r="J470" s="10"/>
      <c r="K470" s="10"/>
    </row>
    <row r="471" ht="30.0" customHeight="1">
      <c r="A471" s="4" t="s">
        <v>72</v>
      </c>
      <c r="B471" s="35" t="s">
        <v>73</v>
      </c>
      <c r="C471" s="44">
        <v>30096.18</v>
      </c>
      <c r="D471" s="7" t="str">
        <f>HYPERLINK("http://www.usrc.it/AppRendiConta/det_650_20191104.pdf","Determina 650 del 04/11/2019")</f>
        <v>Determina 650 del 04/11/2019</v>
      </c>
      <c r="E471" s="27" t="s">
        <v>691</v>
      </c>
      <c r="F471" s="5" t="s">
        <v>12</v>
      </c>
      <c r="G471" s="9" t="s">
        <v>21</v>
      </c>
      <c r="H471" s="10"/>
      <c r="I471" s="10"/>
      <c r="J471" s="10"/>
      <c r="K471" s="10"/>
    </row>
    <row r="472" ht="30.0" customHeight="1">
      <c r="A472" s="4" t="s">
        <v>234</v>
      </c>
      <c r="B472" s="35" t="s">
        <v>235</v>
      </c>
      <c r="C472" s="44">
        <v>13839.07</v>
      </c>
      <c r="D472" s="7" t="str">
        <f>HYPERLINK("http://www.usrc.it/AppRendiConta/det_653_20191104.pdf","Determina 653 del 04/11/2019")</f>
        <v>Determina 653 del 04/11/2019</v>
      </c>
      <c r="E472" s="27" t="s">
        <v>692</v>
      </c>
      <c r="F472" s="5" t="s">
        <v>12</v>
      </c>
      <c r="G472" s="9" t="s">
        <v>21</v>
      </c>
      <c r="H472" s="10"/>
      <c r="I472" s="10"/>
      <c r="J472" s="10"/>
      <c r="K472" s="10"/>
    </row>
    <row r="473" ht="30.0" customHeight="1">
      <c r="A473" s="4" t="s">
        <v>305</v>
      </c>
      <c r="B473" s="35" t="s">
        <v>306</v>
      </c>
      <c r="C473" s="44">
        <v>80000.0</v>
      </c>
      <c r="D473" s="7" t="str">
        <f>HYPERLINK("http://www.usrc.it/AppRendiConta/det_654_20191104.pdf","Determina 654 del 04/11/2019")</f>
        <v>Determina 654 del 04/11/2019</v>
      </c>
      <c r="E473" s="27" t="s">
        <v>693</v>
      </c>
      <c r="F473" s="5" t="s">
        <v>12</v>
      </c>
      <c r="G473" s="9" t="s">
        <v>21</v>
      </c>
      <c r="H473" s="10"/>
      <c r="I473" s="10"/>
      <c r="J473" s="10"/>
      <c r="K473" s="10"/>
    </row>
    <row r="474" ht="30.0" customHeight="1">
      <c r="A474" s="4" t="s">
        <v>29</v>
      </c>
      <c r="B474" s="35" t="s">
        <v>30</v>
      </c>
      <c r="C474" s="44">
        <v>9135.42</v>
      </c>
      <c r="D474" s="7" t="str">
        <f>HYPERLINK("http://www.usrc.it/AppRendiConta/det_655_20191104.pdf","Determina 655 del 04/11/2019")</f>
        <v>Determina 655 del 04/11/2019</v>
      </c>
      <c r="E474" s="27" t="s">
        <v>694</v>
      </c>
      <c r="F474" s="5" t="s">
        <v>12</v>
      </c>
      <c r="G474" s="9" t="s">
        <v>35</v>
      </c>
      <c r="H474" s="10"/>
      <c r="I474" s="10"/>
      <c r="J474" s="10"/>
      <c r="K474" s="10"/>
    </row>
    <row r="475" ht="30.0" customHeight="1">
      <c r="A475" s="4" t="s">
        <v>211</v>
      </c>
      <c r="B475" s="35" t="s">
        <v>87</v>
      </c>
      <c r="C475" s="44">
        <v>60017.29</v>
      </c>
      <c r="D475" s="7" t="str">
        <f>HYPERLINK("http://www.usrc.it/AppRendiConta/det_656_20191104.pdf","Determina 656 del 04/11/2019")</f>
        <v>Determina 656 del 04/11/2019</v>
      </c>
      <c r="E475" s="27" t="s">
        <v>695</v>
      </c>
      <c r="F475" s="5" t="s">
        <v>12</v>
      </c>
      <c r="G475" s="9" t="s">
        <v>35</v>
      </c>
      <c r="H475" s="10"/>
      <c r="I475" s="10"/>
      <c r="J475" s="10"/>
      <c r="K475" s="10"/>
    </row>
    <row r="476" ht="30.0" customHeight="1">
      <c r="A476" s="4" t="s">
        <v>696</v>
      </c>
      <c r="B476" s="35" t="s">
        <v>697</v>
      </c>
      <c r="C476" s="44">
        <v>55657.82</v>
      </c>
      <c r="D476" s="7" t="str">
        <f>HYPERLINK("http://www.usrc.it/AppRendiConta/det_657_20191104.pdf","Determina 657 del 04/11/2019")</f>
        <v>Determina 657 del 04/11/2019</v>
      </c>
      <c r="E476" s="27" t="s">
        <v>698</v>
      </c>
      <c r="F476" s="5" t="s">
        <v>12</v>
      </c>
      <c r="G476" s="9" t="s">
        <v>25</v>
      </c>
      <c r="H476" s="10"/>
      <c r="I476" s="10"/>
      <c r="J476" s="10"/>
      <c r="K476" s="10"/>
    </row>
    <row r="477" ht="30.0" customHeight="1">
      <c r="A477" s="4" t="s">
        <v>270</v>
      </c>
      <c r="B477" s="35" t="s">
        <v>271</v>
      </c>
      <c r="C477" s="44">
        <v>46374.39</v>
      </c>
      <c r="D477" s="7" t="str">
        <f>HYPERLINK("http://www.usrc.it/AppRendiConta/det_658_20191104.pdf","Determina 658 del 04/11/2019")</f>
        <v>Determina 658 del 04/11/2019</v>
      </c>
      <c r="E477" s="27" t="s">
        <v>699</v>
      </c>
      <c r="F477" s="5" t="s">
        <v>12</v>
      </c>
      <c r="G477" s="9" t="s">
        <v>25</v>
      </c>
      <c r="H477" s="10"/>
      <c r="I477" s="10"/>
      <c r="J477" s="10"/>
      <c r="K477" s="10"/>
    </row>
    <row r="478" ht="30.0" customHeight="1">
      <c r="A478" s="4" t="s">
        <v>86</v>
      </c>
      <c r="B478" s="35" t="s">
        <v>87</v>
      </c>
      <c r="C478" s="44">
        <v>50461.54</v>
      </c>
      <c r="D478" s="7" t="str">
        <f>HYPERLINK("http://www.usrc.it/AppRendiConta/det_659_20191104.pdf","Determina 659 del 04/11/2019")</f>
        <v>Determina 659 del 04/11/2019</v>
      </c>
      <c r="E478" s="27" t="s">
        <v>700</v>
      </c>
      <c r="F478" s="5" t="s">
        <v>12</v>
      </c>
      <c r="G478" s="9" t="s">
        <v>35</v>
      </c>
      <c r="H478" s="10"/>
      <c r="I478" s="10"/>
      <c r="J478" s="10"/>
      <c r="K478" s="10"/>
    </row>
    <row r="479" ht="30.0" customHeight="1">
      <c r="A479" s="4" t="s">
        <v>29</v>
      </c>
      <c r="B479" s="35" t="s">
        <v>30</v>
      </c>
      <c r="C479" s="44">
        <v>53401.91</v>
      </c>
      <c r="D479" s="7" t="str">
        <f>HYPERLINK("http://www.usrc.it/AppRendiConta/det_667_20191108.pdf","Determina 667 del 08/11/2019")</f>
        <v>Determina 667 del 08/11/2019</v>
      </c>
      <c r="E479" s="27" t="s">
        <v>701</v>
      </c>
      <c r="F479" s="5" t="s">
        <v>12</v>
      </c>
      <c r="G479" s="9" t="s">
        <v>35</v>
      </c>
      <c r="H479" s="10"/>
      <c r="I479" s="10"/>
      <c r="J479" s="10"/>
      <c r="K479" s="10"/>
    </row>
    <row r="480" ht="30.0" customHeight="1">
      <c r="A480" s="4" t="s">
        <v>72</v>
      </c>
      <c r="B480" s="35" t="s">
        <v>73</v>
      </c>
      <c r="C480" s="44">
        <v>47316.96</v>
      </c>
      <c r="D480" s="7" t="str">
        <f>HYPERLINK("http://www.usrc.it/AppRendiConta/det_668_20191108.pdf","Determina 668 del 08/11/2019")</f>
        <v>Determina 668 del 08/11/2019</v>
      </c>
      <c r="E480" s="27" t="s">
        <v>702</v>
      </c>
      <c r="F480" s="5" t="s">
        <v>12</v>
      </c>
      <c r="G480" s="9" t="s">
        <v>21</v>
      </c>
      <c r="H480" s="10"/>
      <c r="I480" s="10"/>
      <c r="J480" s="10"/>
      <c r="K480" s="10"/>
    </row>
    <row r="481" ht="30.0" customHeight="1">
      <c r="A481" s="4" t="s">
        <v>211</v>
      </c>
      <c r="B481" s="35" t="s">
        <v>87</v>
      </c>
      <c r="C481" s="44">
        <v>452418.87</v>
      </c>
      <c r="D481" s="7" t="str">
        <f>HYPERLINK("http://www.usrc.it/AppRendiConta/det_669_20191108.pdf","Determina 669 del 08/11/2019")</f>
        <v>Determina 669 del 08/11/2019</v>
      </c>
      <c r="E481" s="27" t="s">
        <v>703</v>
      </c>
      <c r="F481" s="5" t="s">
        <v>12</v>
      </c>
      <c r="G481" s="9" t="s">
        <v>25</v>
      </c>
      <c r="H481" s="10"/>
      <c r="I481" s="10"/>
      <c r="J481" s="10"/>
      <c r="K481" s="10"/>
    </row>
    <row r="482" ht="30.0" customHeight="1">
      <c r="A482" s="4" t="s">
        <v>193</v>
      </c>
      <c r="B482" s="35" t="s">
        <v>194</v>
      </c>
      <c r="C482" s="44">
        <v>351313.77</v>
      </c>
      <c r="D482" s="7" t="str">
        <f>HYPERLINK("http://www.usrc.it/AppRendiConta/det_672_20191111.pdf","Determina 672 del 11/11/2019")</f>
        <v>Determina 672 del 11/11/2019</v>
      </c>
      <c r="E482" s="27" t="s">
        <v>704</v>
      </c>
      <c r="F482" s="5" t="s">
        <v>12</v>
      </c>
      <c r="G482" s="9" t="s">
        <v>25</v>
      </c>
      <c r="H482" s="10"/>
      <c r="I482" s="10"/>
      <c r="J482" s="10"/>
      <c r="K482" s="10"/>
    </row>
    <row r="483" ht="30.0" customHeight="1">
      <c r="A483" s="4" t="s">
        <v>270</v>
      </c>
      <c r="B483" s="35" t="s">
        <v>271</v>
      </c>
      <c r="C483" s="44">
        <v>2947685.97</v>
      </c>
      <c r="D483" s="7" t="str">
        <f>HYPERLINK("http://www.usrc.it/AppRendiConta/det_673_20191111.pdf","Determina 673 del 11/11/2019")</f>
        <v>Determina 673 del 11/11/2019</v>
      </c>
      <c r="E483" s="27" t="s">
        <v>705</v>
      </c>
      <c r="F483" s="5" t="s">
        <v>12</v>
      </c>
      <c r="G483" s="9" t="s">
        <v>25</v>
      </c>
      <c r="H483" s="10"/>
      <c r="I483" s="10"/>
      <c r="J483" s="10"/>
      <c r="K483" s="10"/>
    </row>
    <row r="484" ht="30.0" customHeight="1">
      <c r="A484" s="4" t="s">
        <v>169</v>
      </c>
      <c r="B484" s="35" t="s">
        <v>170</v>
      </c>
      <c r="C484" s="44">
        <v>32000.0</v>
      </c>
      <c r="D484" s="7" t="str">
        <f>HYPERLINK("http://www.usrc.it/AppRendiConta/det_675_20191112.pdf","Determina 675 del 12/11/2019")</f>
        <v>Determina 675 del 12/11/2019</v>
      </c>
      <c r="E484" s="27" t="s">
        <v>706</v>
      </c>
      <c r="F484" s="5" t="s">
        <v>12</v>
      </c>
      <c r="G484" s="9" t="s">
        <v>191</v>
      </c>
      <c r="H484" s="10"/>
      <c r="I484" s="10"/>
      <c r="J484" s="10"/>
      <c r="K484" s="10"/>
    </row>
    <row r="485" ht="30.0" customHeight="1">
      <c r="A485" s="4" t="s">
        <v>294</v>
      </c>
      <c r="B485" s="35" t="s">
        <v>295</v>
      </c>
      <c r="C485" s="44">
        <v>7553.01</v>
      </c>
      <c r="D485" s="7" t="str">
        <f>HYPERLINK("http://www.usrc.it/AppRendiConta/det_676_20191112.pdf","Determina 676 del 12/11/2019")</f>
        <v>Determina 676 del 12/11/2019</v>
      </c>
      <c r="E485" s="27" t="s">
        <v>707</v>
      </c>
      <c r="F485" s="5" t="s">
        <v>12</v>
      </c>
      <c r="G485" s="9" t="s">
        <v>191</v>
      </c>
      <c r="H485" s="10"/>
      <c r="I485" s="10"/>
      <c r="J485" s="10"/>
      <c r="K485" s="10"/>
    </row>
    <row r="486" ht="30.0" customHeight="1">
      <c r="A486" s="4" t="s">
        <v>390</v>
      </c>
      <c r="B486" s="35" t="s">
        <v>391</v>
      </c>
      <c r="C486" s="44">
        <v>17527.86</v>
      </c>
      <c r="D486" s="7" t="str">
        <f t="shared" ref="D486:D487" si="31">HYPERLINK("http://www.usrc.it/AppRendiConta/det_677_20191112.pdf","Determina 677 del 12/11/2019")</f>
        <v>Determina 677 del 12/11/2019</v>
      </c>
      <c r="E486" s="27" t="s">
        <v>708</v>
      </c>
      <c r="F486" s="5" t="s">
        <v>12</v>
      </c>
      <c r="G486" s="9" t="s">
        <v>622</v>
      </c>
      <c r="H486" s="10"/>
      <c r="I486" s="10"/>
      <c r="J486" s="10"/>
      <c r="K486" s="10"/>
    </row>
    <row r="487" ht="30.0" customHeight="1">
      <c r="A487" s="4" t="s">
        <v>390</v>
      </c>
      <c r="B487" s="35" t="s">
        <v>391</v>
      </c>
      <c r="C487" s="44">
        <v>264756.28</v>
      </c>
      <c r="D487" s="7" t="str">
        <f t="shared" si="31"/>
        <v>Determina 677 del 12/11/2019</v>
      </c>
      <c r="E487" s="27" t="s">
        <v>708</v>
      </c>
      <c r="F487" s="5" t="s">
        <v>12</v>
      </c>
      <c r="G487" s="9" t="s">
        <v>625</v>
      </c>
      <c r="H487" s="10"/>
      <c r="I487" s="10"/>
      <c r="J487" s="10"/>
      <c r="K487" s="10"/>
    </row>
    <row r="488" ht="30.0" customHeight="1">
      <c r="A488" s="4" t="s">
        <v>709</v>
      </c>
      <c r="B488" s="35" t="s">
        <v>710</v>
      </c>
      <c r="C488" s="44">
        <v>285760.98</v>
      </c>
      <c r="D488" s="7" t="str">
        <f>HYPERLINK("http://www.usrc.it/AppRendiConta/det_685_20191121.pdf","Determina 685 del 21/11/2019")</f>
        <v>Determina 685 del 21/11/2019</v>
      </c>
      <c r="E488" s="27" t="s">
        <v>711</v>
      </c>
      <c r="F488" s="5" t="s">
        <v>12</v>
      </c>
      <c r="G488" s="9" t="s">
        <v>622</v>
      </c>
      <c r="H488" s="10"/>
      <c r="I488" s="10"/>
      <c r="J488" s="10"/>
      <c r="K488" s="10"/>
    </row>
    <row r="489" ht="30.0" customHeight="1">
      <c r="A489" s="4" t="s">
        <v>69</v>
      </c>
      <c r="B489" s="35" t="s">
        <v>70</v>
      </c>
      <c r="C489" s="44">
        <v>652600.63</v>
      </c>
      <c r="D489" s="7" t="str">
        <f>HYPERLINK("http://www.usrc.it/AppRendiConta/det_688_20191121.pdf","Determina 688 del 21/11/2019")</f>
        <v>Determina 688 del 21/11/2019</v>
      </c>
      <c r="E489" s="27" t="s">
        <v>712</v>
      </c>
      <c r="F489" s="5" t="s">
        <v>12</v>
      </c>
      <c r="G489" s="9" t="s">
        <v>21</v>
      </c>
      <c r="H489" s="10"/>
      <c r="I489" s="10"/>
      <c r="J489" s="10"/>
      <c r="K489" s="10"/>
    </row>
    <row r="490" ht="30.0" customHeight="1">
      <c r="A490" s="4" t="s">
        <v>112</v>
      </c>
      <c r="B490" s="35" t="s">
        <v>113</v>
      </c>
      <c r="C490" s="44">
        <v>80000.0</v>
      </c>
      <c r="D490" s="7" t="str">
        <f>HYPERLINK("http://www.usrc.it/AppRendiConta/det_689_20191121.pdf","Determina 689 del 21/11/2019")</f>
        <v>Determina 689 del 21/11/2019</v>
      </c>
      <c r="E490" s="27" t="s">
        <v>713</v>
      </c>
      <c r="F490" s="5" t="s">
        <v>12</v>
      </c>
      <c r="G490" s="9" t="s">
        <v>21</v>
      </c>
      <c r="H490" s="10"/>
      <c r="I490" s="10"/>
      <c r="J490" s="10"/>
      <c r="K490" s="10"/>
    </row>
    <row r="491" ht="30.0" customHeight="1">
      <c r="A491" s="4" t="s">
        <v>294</v>
      </c>
      <c r="B491" s="35" t="s">
        <v>295</v>
      </c>
      <c r="C491" s="44">
        <v>87304.29</v>
      </c>
      <c r="D491" s="7" t="str">
        <f>HYPERLINK("http://www.usrc.it/AppRendiConta/det_691_20191121.pdf","Determina 691 del 21/11/2019")</f>
        <v>Determina 691 del 21/11/2019</v>
      </c>
      <c r="E491" s="27" t="s">
        <v>714</v>
      </c>
      <c r="F491" s="5" t="s">
        <v>12</v>
      </c>
      <c r="G491" s="9" t="s">
        <v>21</v>
      </c>
      <c r="H491" s="10"/>
      <c r="I491" s="10"/>
      <c r="J491" s="10"/>
      <c r="K491" s="10"/>
    </row>
    <row r="492" ht="30.0" customHeight="1">
      <c r="A492" s="4" t="s">
        <v>294</v>
      </c>
      <c r="B492" s="35" t="s">
        <v>295</v>
      </c>
      <c r="C492" s="44">
        <v>86212.75</v>
      </c>
      <c r="D492" s="7" t="str">
        <f>HYPERLINK("http://www.usrc.it/AppRendiConta/det_692_20191121.pdf","Determina 692 del 21/11/2019")</f>
        <v>Determina 692 del 21/11/2019</v>
      </c>
      <c r="E492" s="27" t="s">
        <v>715</v>
      </c>
      <c r="F492" s="5" t="s">
        <v>12</v>
      </c>
      <c r="G492" s="9" t="s">
        <v>21</v>
      </c>
      <c r="H492" s="10"/>
      <c r="I492" s="10"/>
      <c r="J492" s="10"/>
      <c r="K492" s="10"/>
    </row>
    <row r="493" ht="30.0" customHeight="1">
      <c r="A493" s="4" t="s">
        <v>287</v>
      </c>
      <c r="B493" s="35" t="s">
        <v>288</v>
      </c>
      <c r="C493" s="44">
        <v>16177.04</v>
      </c>
      <c r="D493" s="7" t="str">
        <f>HYPERLINK("http://www.usrc.it/AppRendiConta/det_693_20191121.pdf","Determina 693 del 21/11/2019")</f>
        <v>Determina 693 del 21/11/2019</v>
      </c>
      <c r="E493" s="27" t="s">
        <v>716</v>
      </c>
      <c r="F493" s="5" t="s">
        <v>12</v>
      </c>
      <c r="G493" s="9" t="s">
        <v>21</v>
      </c>
      <c r="H493" s="10"/>
      <c r="I493" s="10"/>
      <c r="J493" s="10"/>
      <c r="K493" s="10"/>
    </row>
    <row r="494" ht="30.0" customHeight="1">
      <c r="A494" s="4" t="s">
        <v>474</v>
      </c>
      <c r="B494" s="35" t="s">
        <v>475</v>
      </c>
      <c r="C494" s="44">
        <v>31014.81</v>
      </c>
      <c r="D494" s="7" t="str">
        <f>HYPERLINK("http://www.usrc.it/AppRendiConta/det_694_20191121.pdf","Determina 694 del 21/11/2019")</f>
        <v>Determina 694 del 21/11/2019</v>
      </c>
      <c r="E494" s="27" t="s">
        <v>717</v>
      </c>
      <c r="F494" s="5" t="s">
        <v>12</v>
      </c>
      <c r="G494" s="9" t="s">
        <v>21</v>
      </c>
      <c r="H494" s="10"/>
      <c r="I494" s="10"/>
      <c r="J494" s="10"/>
      <c r="K494" s="10"/>
    </row>
    <row r="495" ht="30.0" customHeight="1">
      <c r="A495" s="4" t="s">
        <v>78</v>
      </c>
      <c r="B495" s="35" t="s">
        <v>79</v>
      </c>
      <c r="C495" s="44">
        <v>83759.75</v>
      </c>
      <c r="D495" s="7" t="str">
        <f>HYPERLINK("http://www.usrc.it/AppRendiConta/det_695_20191121.pdf","Determina 695 del 21/11/2019")</f>
        <v>Determina 695 del 21/11/2019</v>
      </c>
      <c r="E495" s="27" t="s">
        <v>718</v>
      </c>
      <c r="F495" s="5" t="s">
        <v>12</v>
      </c>
      <c r="G495" s="9" t="s">
        <v>21</v>
      </c>
      <c r="H495" s="10"/>
      <c r="I495" s="10"/>
      <c r="J495" s="10"/>
      <c r="K495" s="10"/>
    </row>
    <row r="496" ht="30.0" customHeight="1">
      <c r="A496" s="4" t="s">
        <v>66</v>
      </c>
      <c r="B496" s="35" t="s">
        <v>67</v>
      </c>
      <c r="C496" s="44">
        <v>21493.59</v>
      </c>
      <c r="D496" s="7" t="str">
        <f>HYPERLINK("http://www.usrc.it/AppRendiConta/det_696_20191121.pdf","Determina 696 del 21/11/2019")</f>
        <v>Determina 696 del 21/11/2019</v>
      </c>
      <c r="E496" s="27" t="s">
        <v>719</v>
      </c>
      <c r="F496" s="5" t="s">
        <v>12</v>
      </c>
      <c r="G496" s="9" t="s">
        <v>21</v>
      </c>
      <c r="H496" s="10"/>
      <c r="I496" s="10"/>
      <c r="J496" s="10"/>
      <c r="K496" s="10"/>
    </row>
    <row r="497" ht="30.0" customHeight="1">
      <c r="A497" s="4" t="s">
        <v>460</v>
      </c>
      <c r="B497" s="35" t="s">
        <v>461</v>
      </c>
      <c r="C497" s="44">
        <v>105045.1</v>
      </c>
      <c r="D497" s="7" t="str">
        <f>HYPERLINK("http://www.usrc.it/AppRendiConta/det_697_20191121.pdf","Determina 697 del 21/11/2019")</f>
        <v>Determina 697 del 21/11/2019</v>
      </c>
      <c r="E497" s="27" t="s">
        <v>720</v>
      </c>
      <c r="F497" s="9" t="s">
        <v>12</v>
      </c>
      <c r="G497" s="9" t="s">
        <v>21</v>
      </c>
      <c r="H497" s="10"/>
      <c r="I497" s="10"/>
      <c r="J497" s="10"/>
      <c r="K497" s="10"/>
    </row>
    <row r="498" ht="30.0" customHeight="1">
      <c r="A498" s="4" t="s">
        <v>398</v>
      </c>
      <c r="B498" s="35" t="s">
        <v>399</v>
      </c>
      <c r="C498" s="44">
        <v>31693.89</v>
      </c>
      <c r="D498" s="7" t="str">
        <f>HYPERLINK("http://www.usrc.it/AppRendiConta/det_700_20191122.pdf","Determina 700 del 22/11/2019")</f>
        <v>Determina 700 del 22/11/2019</v>
      </c>
      <c r="E498" s="27" t="s">
        <v>721</v>
      </c>
      <c r="F498" s="5" t="s">
        <v>12</v>
      </c>
      <c r="G498" s="9" t="s">
        <v>35</v>
      </c>
      <c r="H498" s="10"/>
      <c r="I498" s="10"/>
      <c r="J498" s="10"/>
      <c r="K498" s="10"/>
    </row>
    <row r="499" ht="30.0" customHeight="1">
      <c r="A499" s="4" t="s">
        <v>512</v>
      </c>
      <c r="B499" s="35" t="s">
        <v>513</v>
      </c>
      <c r="C499" s="44">
        <v>29990.5</v>
      </c>
      <c r="D499" s="7" t="str">
        <f>HYPERLINK("http://www.usrc.it/AppRendiConta/det_701_20191122.pdf","Determina 701 del 22/11/2019")</f>
        <v>Determina 701 del 22/11/2019</v>
      </c>
      <c r="E499" s="27" t="s">
        <v>722</v>
      </c>
      <c r="F499" s="5" t="s">
        <v>12</v>
      </c>
      <c r="G499" s="9" t="s">
        <v>35</v>
      </c>
      <c r="H499" s="10"/>
      <c r="I499" s="10"/>
      <c r="J499" s="10"/>
      <c r="K499" s="10"/>
    </row>
    <row r="500" ht="30.0" customHeight="1">
      <c r="A500" s="4" t="s">
        <v>138</v>
      </c>
      <c r="B500" s="35" t="s">
        <v>139</v>
      </c>
      <c r="C500" s="44">
        <v>6718.19</v>
      </c>
      <c r="D500" s="7" t="str">
        <f>HYPERLINK("http://www.usrc.it/AppRendiConta/det_705_20191122.pdf","Determina 705 del 22/11/2019")</f>
        <v>Determina 705 del 22/11/2019</v>
      </c>
      <c r="E500" s="27" t="s">
        <v>723</v>
      </c>
      <c r="F500" s="5" t="s">
        <v>12</v>
      </c>
      <c r="G500" s="9" t="s">
        <v>25</v>
      </c>
      <c r="H500" s="10"/>
      <c r="I500" s="10"/>
      <c r="J500" s="10"/>
      <c r="K500" s="10"/>
    </row>
    <row r="501" ht="30.0" customHeight="1">
      <c r="A501" s="4" t="s">
        <v>75</v>
      </c>
      <c r="B501" s="35" t="s">
        <v>76</v>
      </c>
      <c r="C501" s="44">
        <v>841696.61</v>
      </c>
      <c r="D501" s="7" t="str">
        <f>HYPERLINK("http://www.usrc.it/AppRendiConta/det_706_20191122.pdf","Determina 706 del 22/11/2019")</f>
        <v>Determina 706 del 22/11/2019</v>
      </c>
      <c r="E501" s="27" t="s">
        <v>724</v>
      </c>
      <c r="F501" s="9" t="s">
        <v>12</v>
      </c>
      <c r="G501" s="9" t="s">
        <v>479</v>
      </c>
      <c r="H501" s="10"/>
      <c r="I501" s="10"/>
      <c r="J501" s="10"/>
      <c r="K501" s="10"/>
    </row>
    <row r="502" ht="30.0" customHeight="1">
      <c r="A502" s="4" t="s">
        <v>18</v>
      </c>
      <c r="B502" s="35" t="s">
        <v>19</v>
      </c>
      <c r="C502" s="44">
        <v>2045053.94</v>
      </c>
      <c r="D502" s="7" t="str">
        <f>HYPERLINK("http://www.usrc.it/AppRendiConta/det_707_20191122.pdf","Determina 707 del 22/11/2019")</f>
        <v>Determina 707 del 22/11/2019</v>
      </c>
      <c r="E502" s="27" t="s">
        <v>725</v>
      </c>
      <c r="F502" s="9" t="s">
        <v>12</v>
      </c>
      <c r="G502" s="9" t="s">
        <v>479</v>
      </c>
      <c r="H502" s="10"/>
      <c r="I502" s="10"/>
      <c r="J502" s="10"/>
      <c r="K502" s="10"/>
    </row>
    <row r="503" ht="30.0" customHeight="1">
      <c r="A503" s="4" t="s">
        <v>175</v>
      </c>
      <c r="B503" s="35" t="s">
        <v>176</v>
      </c>
      <c r="C503" s="44">
        <v>3605568.53</v>
      </c>
      <c r="D503" s="7" t="str">
        <f>HYPERLINK("http://www.usrc.it/AppRendiConta/det_710_20191125.pdf","Determina 710 del 25/11/2019")</f>
        <v>Determina 710 del 25/11/2019</v>
      </c>
      <c r="E503" s="27" t="s">
        <v>726</v>
      </c>
      <c r="F503" s="5" t="s">
        <v>12</v>
      </c>
      <c r="G503" s="9" t="s">
        <v>479</v>
      </c>
      <c r="H503" s="10"/>
      <c r="I503" s="10"/>
      <c r="J503" s="10"/>
      <c r="K503" s="10"/>
    </row>
    <row r="504" ht="30.0" customHeight="1">
      <c r="A504" s="4" t="s">
        <v>124</v>
      </c>
      <c r="B504" s="35" t="s">
        <v>125</v>
      </c>
      <c r="C504" s="44">
        <v>14400.0</v>
      </c>
      <c r="D504" s="7" t="str">
        <f t="shared" ref="D504:D507" si="32">HYPERLINK("http://www.usrc.it/AppRendiConta/det_711_20191126.pdf","Determina 711 del 26/11/2019")</f>
        <v>Determina 711 del 26/11/2019</v>
      </c>
      <c r="E504" s="27" t="s">
        <v>727</v>
      </c>
      <c r="F504" s="5" t="s">
        <v>12</v>
      </c>
      <c r="G504" s="9" t="s">
        <v>149</v>
      </c>
      <c r="H504" s="10"/>
      <c r="I504" s="10"/>
      <c r="J504" s="10"/>
      <c r="K504" s="10"/>
    </row>
    <row r="505" ht="30.0" customHeight="1">
      <c r="A505" s="4" t="s">
        <v>66</v>
      </c>
      <c r="B505" s="35" t="s">
        <v>67</v>
      </c>
      <c r="C505" s="44">
        <v>7200.0</v>
      </c>
      <c r="D505" s="7" t="str">
        <f t="shared" si="32"/>
        <v>Determina 711 del 26/11/2019</v>
      </c>
      <c r="E505" s="27" t="s">
        <v>728</v>
      </c>
      <c r="F505" s="5" t="s">
        <v>12</v>
      </c>
      <c r="G505" s="9" t="s">
        <v>149</v>
      </c>
      <c r="H505" s="10"/>
      <c r="I505" s="10"/>
      <c r="J505" s="10"/>
      <c r="K505" s="10"/>
    </row>
    <row r="506" ht="30.0" customHeight="1">
      <c r="A506" s="4" t="s">
        <v>138</v>
      </c>
      <c r="B506" s="35" t="s">
        <v>139</v>
      </c>
      <c r="C506" s="44">
        <v>7200.0</v>
      </c>
      <c r="D506" s="7" t="str">
        <f t="shared" si="32"/>
        <v>Determina 711 del 26/11/2019</v>
      </c>
      <c r="E506" s="27" t="s">
        <v>729</v>
      </c>
      <c r="F506" s="5" t="s">
        <v>12</v>
      </c>
      <c r="G506" s="9" t="s">
        <v>149</v>
      </c>
      <c r="H506" s="10"/>
      <c r="I506" s="10"/>
      <c r="J506" s="10"/>
      <c r="K506" s="10"/>
    </row>
    <row r="507" ht="30.0" customHeight="1">
      <c r="A507" s="4" t="s">
        <v>145</v>
      </c>
      <c r="B507" s="35" t="s">
        <v>146</v>
      </c>
      <c r="C507" s="44">
        <v>8631.0</v>
      </c>
      <c r="D507" s="7" t="str">
        <f t="shared" si="32"/>
        <v>Determina 711 del 26/11/2019</v>
      </c>
      <c r="E507" s="27" t="s">
        <v>730</v>
      </c>
      <c r="F507" s="5" t="s">
        <v>12</v>
      </c>
      <c r="G507" s="9" t="s">
        <v>149</v>
      </c>
      <c r="H507" s="10"/>
      <c r="I507" s="10"/>
      <c r="J507" s="10"/>
      <c r="K507" s="10"/>
    </row>
    <row r="508" ht="30.0" customHeight="1">
      <c r="A508" s="4" t="s">
        <v>18</v>
      </c>
      <c r="B508" s="35" t="s">
        <v>19</v>
      </c>
      <c r="C508" s="44">
        <v>14400.0</v>
      </c>
      <c r="D508" s="7" t="str">
        <f t="shared" ref="D508:D525" si="33">HYPERLINK("http://www.usrc.it/AppRendiConta/det_712_20191126.pdf","Determina 712 del 26/11/2019")</f>
        <v>Determina 712 del 26/11/2019</v>
      </c>
      <c r="E508" s="27" t="s">
        <v>731</v>
      </c>
      <c r="F508" s="5" t="s">
        <v>12</v>
      </c>
      <c r="G508" s="9" t="s">
        <v>732</v>
      </c>
      <c r="H508" s="10"/>
      <c r="I508" s="10"/>
      <c r="J508" s="10"/>
      <c r="K508" s="10"/>
    </row>
    <row r="509" ht="30.0" customHeight="1">
      <c r="A509" s="4" t="s">
        <v>42</v>
      </c>
      <c r="B509" s="35" t="s">
        <v>43</v>
      </c>
      <c r="C509" s="44">
        <v>7200.0</v>
      </c>
      <c r="D509" s="7" t="str">
        <f t="shared" si="33"/>
        <v>Determina 712 del 26/11/2019</v>
      </c>
      <c r="E509" s="27" t="s">
        <v>733</v>
      </c>
      <c r="F509" s="5" t="s">
        <v>12</v>
      </c>
      <c r="G509" s="9" t="s">
        <v>732</v>
      </c>
      <c r="H509" s="10"/>
      <c r="I509" s="10"/>
      <c r="J509" s="10"/>
      <c r="K509" s="10"/>
    </row>
    <row r="510" ht="30.0" customHeight="1">
      <c r="A510" s="4" t="s">
        <v>124</v>
      </c>
      <c r="B510" s="35" t="s">
        <v>125</v>
      </c>
      <c r="C510" s="44">
        <v>9000.0</v>
      </c>
      <c r="D510" s="7" t="str">
        <f t="shared" si="33"/>
        <v>Determina 712 del 26/11/2019</v>
      </c>
      <c r="E510" s="27" t="s">
        <v>734</v>
      </c>
      <c r="F510" s="5" t="s">
        <v>12</v>
      </c>
      <c r="G510" s="9" t="s">
        <v>732</v>
      </c>
      <c r="H510" s="10"/>
      <c r="I510" s="10"/>
      <c r="J510" s="10"/>
      <c r="K510" s="10"/>
    </row>
    <row r="511" ht="30.0" customHeight="1">
      <c r="A511" s="4" t="s">
        <v>127</v>
      </c>
      <c r="B511" s="35" t="s">
        <v>128</v>
      </c>
      <c r="C511" s="44">
        <v>9000.0</v>
      </c>
      <c r="D511" s="7" t="str">
        <f t="shared" si="33"/>
        <v>Determina 712 del 26/11/2019</v>
      </c>
      <c r="E511" s="27" t="s">
        <v>734</v>
      </c>
      <c r="F511" s="5" t="s">
        <v>12</v>
      </c>
      <c r="G511" s="9" t="s">
        <v>732</v>
      </c>
      <c r="H511" s="10"/>
      <c r="I511" s="10"/>
      <c r="J511" s="10"/>
      <c r="K511" s="10"/>
    </row>
    <row r="512" ht="30.0" customHeight="1">
      <c r="A512" s="4" t="s">
        <v>130</v>
      </c>
      <c r="B512" s="35" t="s">
        <v>131</v>
      </c>
      <c r="C512" s="44">
        <v>14400.0</v>
      </c>
      <c r="D512" s="7" t="str">
        <f t="shared" si="33"/>
        <v>Determina 712 del 26/11/2019</v>
      </c>
      <c r="E512" s="27" t="s">
        <v>731</v>
      </c>
      <c r="F512" s="5" t="s">
        <v>12</v>
      </c>
      <c r="G512" s="9" t="s">
        <v>732</v>
      </c>
      <c r="H512" s="10"/>
      <c r="I512" s="10"/>
      <c r="J512" s="10"/>
      <c r="K512" s="10"/>
    </row>
    <row r="513" ht="30.0" customHeight="1">
      <c r="A513" s="4" t="s">
        <v>98</v>
      </c>
      <c r="B513" s="35" t="s">
        <v>99</v>
      </c>
      <c r="C513" s="44">
        <v>10800.0</v>
      </c>
      <c r="D513" s="7" t="str">
        <f t="shared" si="33"/>
        <v>Determina 712 del 26/11/2019</v>
      </c>
      <c r="E513" s="27" t="s">
        <v>735</v>
      </c>
      <c r="F513" s="5" t="s">
        <v>12</v>
      </c>
      <c r="G513" s="9" t="s">
        <v>732</v>
      </c>
      <c r="H513" s="10"/>
      <c r="I513" s="10"/>
      <c r="J513" s="10"/>
      <c r="K513" s="10"/>
    </row>
    <row r="514" ht="30.0" customHeight="1">
      <c r="A514" s="4" t="s">
        <v>158</v>
      </c>
      <c r="B514" s="35" t="s">
        <v>159</v>
      </c>
      <c r="C514" s="44">
        <v>5400.0</v>
      </c>
      <c r="D514" s="7" t="str">
        <f t="shared" si="33"/>
        <v>Determina 712 del 26/11/2019</v>
      </c>
      <c r="E514" s="27" t="s">
        <v>736</v>
      </c>
      <c r="F514" s="5" t="s">
        <v>12</v>
      </c>
      <c r="G514" s="9" t="s">
        <v>732</v>
      </c>
      <c r="H514" s="10"/>
      <c r="I514" s="10"/>
      <c r="J514" s="10"/>
      <c r="K514" s="10"/>
    </row>
    <row r="515" ht="30.0" customHeight="1">
      <c r="A515" s="4" t="s">
        <v>66</v>
      </c>
      <c r="B515" s="35" t="s">
        <v>67</v>
      </c>
      <c r="C515" s="44">
        <v>10800.0</v>
      </c>
      <c r="D515" s="7" t="str">
        <f t="shared" si="33"/>
        <v>Determina 712 del 26/11/2019</v>
      </c>
      <c r="E515" s="27" t="s">
        <v>735</v>
      </c>
      <c r="F515" s="5" t="s">
        <v>12</v>
      </c>
      <c r="G515" s="9" t="s">
        <v>732</v>
      </c>
      <c r="H515" s="10"/>
      <c r="I515" s="10"/>
      <c r="J515" s="10"/>
      <c r="K515" s="10"/>
    </row>
    <row r="516" ht="30.0" customHeight="1">
      <c r="A516" s="4" t="s">
        <v>78</v>
      </c>
      <c r="B516" s="35" t="s">
        <v>79</v>
      </c>
      <c r="C516" s="44">
        <v>10800.0</v>
      </c>
      <c r="D516" s="7" t="str">
        <f t="shared" si="33"/>
        <v>Determina 712 del 26/11/2019</v>
      </c>
      <c r="E516" s="27" t="s">
        <v>735</v>
      </c>
      <c r="F516" s="5" t="s">
        <v>12</v>
      </c>
      <c r="G516" s="9" t="s">
        <v>732</v>
      </c>
      <c r="H516" s="10"/>
      <c r="I516" s="10"/>
      <c r="J516" s="10"/>
      <c r="K516" s="10"/>
    </row>
    <row r="517" ht="30.0" customHeight="1">
      <c r="A517" s="4" t="s">
        <v>167</v>
      </c>
      <c r="B517" s="35" t="s">
        <v>168</v>
      </c>
      <c r="C517" s="44">
        <v>10800.0</v>
      </c>
      <c r="D517" s="7" t="str">
        <f t="shared" si="33"/>
        <v>Determina 712 del 26/11/2019</v>
      </c>
      <c r="E517" s="27" t="s">
        <v>735</v>
      </c>
      <c r="F517" s="5" t="s">
        <v>12</v>
      </c>
      <c r="G517" s="9" t="s">
        <v>732</v>
      </c>
      <c r="H517" s="10"/>
      <c r="I517" s="10"/>
      <c r="J517" s="10"/>
      <c r="K517" s="10"/>
    </row>
    <row r="518" ht="30.0" customHeight="1">
      <c r="A518" s="4" t="s">
        <v>220</v>
      </c>
      <c r="B518" s="35" t="s">
        <v>221</v>
      </c>
      <c r="C518" s="44">
        <v>10800.0</v>
      </c>
      <c r="D518" s="7" t="str">
        <f t="shared" si="33"/>
        <v>Determina 712 del 26/11/2019</v>
      </c>
      <c r="E518" s="27" t="s">
        <v>735</v>
      </c>
      <c r="F518" s="5" t="s">
        <v>12</v>
      </c>
      <c r="G518" s="9" t="s">
        <v>732</v>
      </c>
      <c r="H518" s="10"/>
      <c r="I518" s="10"/>
      <c r="J518" s="10"/>
      <c r="K518" s="10"/>
    </row>
    <row r="519" ht="30.0" customHeight="1">
      <c r="A519" s="4" t="s">
        <v>138</v>
      </c>
      <c r="B519" s="35" t="s">
        <v>139</v>
      </c>
      <c r="C519" s="44">
        <v>14400.0</v>
      </c>
      <c r="D519" s="7" t="str">
        <f t="shared" si="33"/>
        <v>Determina 712 del 26/11/2019</v>
      </c>
      <c r="E519" s="27" t="s">
        <v>731</v>
      </c>
      <c r="F519" s="5" t="s">
        <v>12</v>
      </c>
      <c r="G519" s="9" t="s">
        <v>732</v>
      </c>
      <c r="H519" s="10"/>
      <c r="I519" s="10"/>
      <c r="J519" s="10"/>
      <c r="K519" s="10"/>
    </row>
    <row r="520" ht="30.0" customHeight="1">
      <c r="A520" s="4" t="s">
        <v>228</v>
      </c>
      <c r="B520" s="35" t="s">
        <v>229</v>
      </c>
      <c r="C520" s="44">
        <v>10800.0</v>
      </c>
      <c r="D520" s="7" t="str">
        <f t="shared" si="33"/>
        <v>Determina 712 del 26/11/2019</v>
      </c>
      <c r="E520" s="27" t="s">
        <v>735</v>
      </c>
      <c r="F520" s="5" t="s">
        <v>12</v>
      </c>
      <c r="G520" s="9" t="s">
        <v>732</v>
      </c>
      <c r="H520" s="10"/>
      <c r="I520" s="10"/>
      <c r="J520" s="10"/>
      <c r="K520" s="10"/>
    </row>
    <row r="521" ht="30.0" customHeight="1">
      <c r="A521" s="4" t="s">
        <v>75</v>
      </c>
      <c r="B521" s="35" t="s">
        <v>76</v>
      </c>
      <c r="C521" s="44">
        <v>10800.0</v>
      </c>
      <c r="D521" s="7" t="str">
        <f t="shared" si="33"/>
        <v>Determina 712 del 26/11/2019</v>
      </c>
      <c r="E521" s="27" t="s">
        <v>735</v>
      </c>
      <c r="F521" s="5" t="s">
        <v>12</v>
      </c>
      <c r="G521" s="9" t="s">
        <v>732</v>
      </c>
      <c r="H521" s="10"/>
      <c r="I521" s="10"/>
      <c r="J521" s="10"/>
      <c r="K521" s="10"/>
    </row>
    <row r="522" ht="30.0" customHeight="1">
      <c r="A522" s="4" t="s">
        <v>86</v>
      </c>
      <c r="B522" s="35" t="s">
        <v>87</v>
      </c>
      <c r="C522" s="44">
        <v>14400.0</v>
      </c>
      <c r="D522" s="7" t="str">
        <f t="shared" si="33"/>
        <v>Determina 712 del 26/11/2019</v>
      </c>
      <c r="E522" s="27" t="s">
        <v>731</v>
      </c>
      <c r="F522" s="5" t="s">
        <v>12</v>
      </c>
      <c r="G522" s="9" t="s">
        <v>732</v>
      </c>
      <c r="H522" s="10"/>
      <c r="I522" s="10"/>
      <c r="J522" s="10"/>
      <c r="K522" s="10"/>
    </row>
    <row r="523" ht="30.0" customHeight="1">
      <c r="A523" s="4" t="s">
        <v>415</v>
      </c>
      <c r="B523" s="35" t="s">
        <v>180</v>
      </c>
      <c r="C523" s="44">
        <v>14400.0</v>
      </c>
      <c r="D523" s="7" t="str">
        <f t="shared" si="33"/>
        <v>Determina 712 del 26/11/2019</v>
      </c>
      <c r="E523" s="27" t="s">
        <v>731</v>
      </c>
      <c r="F523" s="5" t="s">
        <v>12</v>
      </c>
      <c r="G523" s="9" t="s">
        <v>732</v>
      </c>
      <c r="H523" s="10"/>
      <c r="I523" s="10"/>
      <c r="J523" s="10"/>
      <c r="K523" s="10"/>
    </row>
    <row r="524" ht="30.0" customHeight="1">
      <c r="A524" s="4" t="s">
        <v>145</v>
      </c>
      <c r="B524" s="35" t="s">
        <v>146</v>
      </c>
      <c r="C524" s="44">
        <v>14400.0</v>
      </c>
      <c r="D524" s="7" t="str">
        <f t="shared" si="33"/>
        <v>Determina 712 del 26/11/2019</v>
      </c>
      <c r="E524" s="27" t="s">
        <v>731</v>
      </c>
      <c r="F524" s="5" t="s">
        <v>12</v>
      </c>
      <c r="G524" s="9" t="s">
        <v>732</v>
      </c>
      <c r="H524" s="10"/>
      <c r="I524" s="10"/>
      <c r="J524" s="10"/>
      <c r="K524" s="10"/>
    </row>
    <row r="525" ht="30.0" customHeight="1">
      <c r="A525" s="4" t="s">
        <v>177</v>
      </c>
      <c r="B525" s="35" t="s">
        <v>178</v>
      </c>
      <c r="C525" s="44">
        <v>13500.0</v>
      </c>
      <c r="D525" s="7" t="str">
        <f t="shared" si="33"/>
        <v>Determina 712 del 26/11/2019</v>
      </c>
      <c r="E525" s="27" t="s">
        <v>737</v>
      </c>
      <c r="F525" s="5" t="s">
        <v>12</v>
      </c>
      <c r="G525" s="9" t="s">
        <v>732</v>
      </c>
      <c r="H525" s="10"/>
      <c r="I525" s="10"/>
      <c r="J525" s="10"/>
      <c r="K525" s="10"/>
    </row>
    <row r="526" ht="30.0" customHeight="1">
      <c r="A526" s="4" t="s">
        <v>164</v>
      </c>
      <c r="B526" s="35" t="s">
        <v>165</v>
      </c>
      <c r="C526" s="44">
        <v>6557.2</v>
      </c>
      <c r="D526" s="7" t="str">
        <f>HYPERLINK("http://www.usrc.it/AppRendiConta/det_713_20191126.pdf","Determina 713 del 26/11/2019")</f>
        <v>Determina 713 del 26/11/2019</v>
      </c>
      <c r="E526" s="27" t="s">
        <v>738</v>
      </c>
      <c r="F526" s="5" t="s">
        <v>12</v>
      </c>
      <c r="G526" s="9" t="s">
        <v>191</v>
      </c>
      <c r="H526" s="10"/>
      <c r="I526" s="10"/>
      <c r="J526" s="10"/>
      <c r="K526" s="10"/>
    </row>
    <row r="527" ht="30.0" customHeight="1">
      <c r="A527" s="9" t="s">
        <v>119</v>
      </c>
      <c r="B527" s="35" t="s">
        <v>120</v>
      </c>
      <c r="C527" s="44">
        <v>146596.89</v>
      </c>
      <c r="D527" s="7" t="str">
        <f>HYPERLINK("http://www.usrc.it/AppRendiConta/det_714_20191126.pdf","Determina 714 del 26/11/2019")</f>
        <v>Determina 714 del 26/11/2019</v>
      </c>
      <c r="E527" s="27" t="s">
        <v>121</v>
      </c>
      <c r="F527" s="5" t="s">
        <v>12</v>
      </c>
      <c r="G527" s="9" t="s">
        <v>622</v>
      </c>
      <c r="H527" s="10"/>
      <c r="I527" s="10"/>
      <c r="J527" s="10"/>
      <c r="K527" s="10"/>
    </row>
    <row r="528" ht="30.0" customHeight="1">
      <c r="A528" s="4" t="s">
        <v>429</v>
      </c>
      <c r="B528" s="35" t="s">
        <v>430</v>
      </c>
      <c r="C528" s="44">
        <v>195852.27</v>
      </c>
      <c r="D528" s="7" t="str">
        <f t="shared" ref="D528:D529" si="34">HYPERLINK("http://www.usrc.it/AppRendiConta/det_715_20191127.pdf","Determina 715 del 27/11/2019")</f>
        <v>Determina 715 del 27/11/2019</v>
      </c>
      <c r="E528" s="27" t="s">
        <v>739</v>
      </c>
      <c r="F528" s="5" t="s">
        <v>12</v>
      </c>
      <c r="G528" s="9" t="s">
        <v>622</v>
      </c>
      <c r="H528" s="10"/>
      <c r="I528" s="10"/>
      <c r="J528" s="10"/>
      <c r="K528" s="10"/>
    </row>
    <row r="529" ht="30.0" customHeight="1">
      <c r="A529" s="4" t="s">
        <v>429</v>
      </c>
      <c r="B529" s="35" t="s">
        <v>430</v>
      </c>
      <c r="C529" s="44">
        <v>389550.14</v>
      </c>
      <c r="D529" s="7" t="str">
        <f t="shared" si="34"/>
        <v>Determina 715 del 27/11/2019</v>
      </c>
      <c r="E529" s="27" t="s">
        <v>739</v>
      </c>
      <c r="F529" s="5" t="s">
        <v>12</v>
      </c>
      <c r="G529" s="9" t="s">
        <v>641</v>
      </c>
      <c r="H529" s="10"/>
      <c r="I529" s="10"/>
      <c r="J529" s="10"/>
      <c r="K529" s="10"/>
    </row>
    <row r="530" ht="30.0" customHeight="1">
      <c r="A530" s="4" t="s">
        <v>316</v>
      </c>
      <c r="B530" s="35" t="s">
        <v>317</v>
      </c>
      <c r="C530" s="44">
        <v>1081343.77</v>
      </c>
      <c r="D530" s="7" t="str">
        <f t="shared" ref="D530:D531" si="35">HYPERLINK("http://www.usrc.it/AppRendiConta/det_719_20191127.pdf","Determina 719 del 27/11/2019")</f>
        <v>Determina 719 del 27/11/2019</v>
      </c>
      <c r="E530" s="27" t="s">
        <v>740</v>
      </c>
      <c r="F530" s="5" t="s">
        <v>12</v>
      </c>
      <c r="G530" s="9" t="s">
        <v>622</v>
      </c>
      <c r="H530" s="10"/>
      <c r="I530" s="10"/>
      <c r="J530" s="10"/>
      <c r="K530" s="10"/>
    </row>
    <row r="531" ht="30.0" customHeight="1">
      <c r="A531" s="4" t="s">
        <v>316</v>
      </c>
      <c r="B531" s="35" t="s">
        <v>317</v>
      </c>
      <c r="C531" s="44">
        <v>1262692.23</v>
      </c>
      <c r="D531" s="7" t="str">
        <f t="shared" si="35"/>
        <v>Determina 719 del 27/11/2019</v>
      </c>
      <c r="E531" s="27" t="s">
        <v>740</v>
      </c>
      <c r="F531" s="5" t="s">
        <v>12</v>
      </c>
      <c r="G531" s="9" t="s">
        <v>624</v>
      </c>
      <c r="H531" s="10"/>
      <c r="I531" s="10"/>
      <c r="J531" s="10"/>
      <c r="K531" s="10"/>
    </row>
    <row r="532" ht="30.0" customHeight="1">
      <c r="A532" s="4" t="s">
        <v>371</v>
      </c>
      <c r="B532" s="35" t="s">
        <v>372</v>
      </c>
      <c r="C532" s="44">
        <v>4216.7</v>
      </c>
      <c r="D532" s="4" t="s">
        <v>741</v>
      </c>
      <c r="E532" s="27" t="s">
        <v>742</v>
      </c>
      <c r="F532" s="5" t="s">
        <v>12</v>
      </c>
      <c r="G532" s="9" t="s">
        <v>35</v>
      </c>
      <c r="H532" s="10"/>
      <c r="I532" s="10"/>
      <c r="J532" s="10"/>
      <c r="K532" s="10"/>
    </row>
    <row r="533" ht="30.0" customHeight="1">
      <c r="A533" s="4" t="s">
        <v>151</v>
      </c>
      <c r="B533" s="35" t="s">
        <v>152</v>
      </c>
      <c r="C533" s="44">
        <v>97038.07</v>
      </c>
      <c r="D533" s="7" t="str">
        <f>HYPERLINK("http://www.usrc.it/AppRendiConta/det_723_20191129.pdf","Determina 723 del 29/11/2019")</f>
        <v>Determina 723 del 29/11/2019</v>
      </c>
      <c r="E533" s="27" t="s">
        <v>743</v>
      </c>
      <c r="F533" s="5" t="s">
        <v>12</v>
      </c>
      <c r="G533" s="9" t="s">
        <v>21</v>
      </c>
      <c r="H533" s="10"/>
      <c r="I533" s="10"/>
      <c r="J533" s="10"/>
      <c r="K533" s="10"/>
    </row>
    <row r="534" ht="30.0" customHeight="1">
      <c r="A534" s="4" t="s">
        <v>234</v>
      </c>
      <c r="B534" s="35" t="s">
        <v>235</v>
      </c>
      <c r="C534" s="44">
        <v>3491496.15</v>
      </c>
      <c r="D534" s="7" t="str">
        <f>HYPERLINK("http://www.usrc.it/AppRendiConta/det_724_20191129.pdf","Determina 724 del 29/11/2019")</f>
        <v>Determina 724 del 29/11/2019</v>
      </c>
      <c r="E534" s="27" t="s">
        <v>744</v>
      </c>
      <c r="F534" s="5" t="s">
        <v>12</v>
      </c>
      <c r="G534" s="9" t="s">
        <v>479</v>
      </c>
      <c r="H534" s="10"/>
      <c r="I534" s="10"/>
      <c r="J534" s="10"/>
      <c r="K534" s="10"/>
    </row>
    <row r="535" ht="30.0" customHeight="1">
      <c r="A535" s="4" t="s">
        <v>138</v>
      </c>
      <c r="B535" s="35" t="s">
        <v>139</v>
      </c>
      <c r="C535" s="44">
        <v>3142550.63</v>
      </c>
      <c r="D535" s="7" t="str">
        <f>HYPERLINK("http://www.usrc.it/AppRendiConta/det_733_20191203.pdf","Determina 733 del 03/12/2019")</f>
        <v>Determina 733 del 03/12/2019</v>
      </c>
      <c r="E535" s="27" t="s">
        <v>745</v>
      </c>
      <c r="F535" s="5" t="s">
        <v>12</v>
      </c>
      <c r="G535" s="9" t="s">
        <v>479</v>
      </c>
      <c r="H535" s="10"/>
      <c r="I535" s="10"/>
      <c r="J535" s="10"/>
      <c r="K535" s="10"/>
    </row>
    <row r="536" ht="30.0" customHeight="1">
      <c r="A536" s="9" t="s">
        <v>460</v>
      </c>
      <c r="B536" s="35" t="s">
        <v>461</v>
      </c>
      <c r="C536" s="44">
        <v>2200.0</v>
      </c>
      <c r="D536" s="7" t="str">
        <f>HYPERLINK("http://www.usrc.it/AppRendiConta/det_736_20191204.pdf","Determina 736 del 04/12/2019")</f>
        <v>Determina 736 del 04/12/2019</v>
      </c>
      <c r="E536" s="27" t="s">
        <v>746</v>
      </c>
      <c r="F536" s="5" t="s">
        <v>12</v>
      </c>
      <c r="G536" s="9" t="s">
        <v>747</v>
      </c>
      <c r="H536" s="10"/>
      <c r="I536" s="10"/>
      <c r="J536" s="10"/>
      <c r="K536" s="10"/>
    </row>
    <row r="537" ht="30.0" customHeight="1">
      <c r="A537" s="9" t="s">
        <v>460</v>
      </c>
      <c r="B537" s="35" t="s">
        <v>461</v>
      </c>
      <c r="C537" s="44">
        <v>10800.0</v>
      </c>
      <c r="D537" s="7" t="str">
        <f>HYPERLINK("http://www.usrc.it/AppRendiConta/det_737_20191204.pdf","Determina 737 del 04/12/2019")</f>
        <v>Determina 737 del 04/12/2019</v>
      </c>
      <c r="E537" s="27" t="s">
        <v>748</v>
      </c>
      <c r="F537" s="5" t="s">
        <v>12</v>
      </c>
      <c r="G537" s="9" t="s">
        <v>749</v>
      </c>
      <c r="H537" s="10"/>
      <c r="I537" s="10"/>
      <c r="J537" s="10"/>
      <c r="K537" s="10"/>
    </row>
    <row r="538" ht="30.0" customHeight="1">
      <c r="A538" s="9" t="s">
        <v>201</v>
      </c>
      <c r="B538" s="35" t="s">
        <v>202</v>
      </c>
      <c r="C538" s="44">
        <v>24700.0</v>
      </c>
      <c r="D538" s="7" t="str">
        <f>HYPERLINK("http://www.usrc.it/AppRendiConta/det_738_20191204.pdf","Determina 738 del 04/12/2019")</f>
        <v>Determina 738 del 04/12/2019</v>
      </c>
      <c r="E538" s="27" t="s">
        <v>750</v>
      </c>
      <c r="F538" s="5" t="s">
        <v>12</v>
      </c>
      <c r="G538" s="9" t="s">
        <v>751</v>
      </c>
      <c r="H538" s="10"/>
      <c r="I538" s="10"/>
      <c r="J538" s="10"/>
      <c r="K538" s="10"/>
    </row>
    <row r="539" ht="30.0" customHeight="1">
      <c r="A539" s="9" t="s">
        <v>130</v>
      </c>
      <c r="B539" s="35" t="s">
        <v>131</v>
      </c>
      <c r="C539" s="44">
        <v>17000.0</v>
      </c>
      <c r="D539" s="7" t="str">
        <f>HYPERLINK("http://www.usrc.it/AppRendiConta/det_739_20191204.pdf","Determina 739 del 04/12/2019")</f>
        <v>Determina 739 del 04/12/2019</v>
      </c>
      <c r="E539" s="27" t="s">
        <v>752</v>
      </c>
      <c r="F539" s="5" t="s">
        <v>12</v>
      </c>
      <c r="G539" s="9" t="s">
        <v>751</v>
      </c>
      <c r="H539" s="10"/>
      <c r="I539" s="10"/>
      <c r="J539" s="10"/>
      <c r="K539" s="10"/>
    </row>
    <row r="540" ht="30.0" customHeight="1">
      <c r="A540" s="9" t="s">
        <v>98</v>
      </c>
      <c r="B540" s="35" t="s">
        <v>99</v>
      </c>
      <c r="C540" s="44">
        <v>2073.33</v>
      </c>
      <c r="D540" s="7" t="str">
        <f>HYPERLINK("http://www.usrc.it/AppRendiConta/det_740_20191204.pdf","Determina 740 del 04/12/2019")</f>
        <v>Determina 740 del 04/12/2019</v>
      </c>
      <c r="E540" s="27" t="s">
        <v>753</v>
      </c>
      <c r="F540" s="5" t="s">
        <v>12</v>
      </c>
      <c r="G540" s="9" t="s">
        <v>751</v>
      </c>
      <c r="H540" s="10"/>
      <c r="I540" s="10"/>
      <c r="J540" s="10"/>
      <c r="K540" s="10"/>
    </row>
    <row r="541" ht="30.0" customHeight="1">
      <c r="A541" s="9" t="s">
        <v>460</v>
      </c>
      <c r="B541" s="35" t="s">
        <v>461</v>
      </c>
      <c r="C541" s="44">
        <v>1533.33</v>
      </c>
      <c r="D541" s="7" t="str">
        <f>HYPERLINK("http://www.usrc.it/AppRendiConta/det_741_20191204.pdf","Determina 741 del 04/12/2019")</f>
        <v>Determina 741 del 04/12/2019</v>
      </c>
      <c r="E541" s="27" t="s">
        <v>754</v>
      </c>
      <c r="F541" s="5" t="s">
        <v>12</v>
      </c>
      <c r="G541" s="9" t="s">
        <v>751</v>
      </c>
      <c r="H541" s="10"/>
      <c r="I541" s="10"/>
      <c r="J541" s="10"/>
      <c r="K541" s="10"/>
    </row>
    <row r="542" ht="30.0" customHeight="1">
      <c r="A542" s="9" t="s">
        <v>169</v>
      </c>
      <c r="B542" s="35" t="s">
        <v>170</v>
      </c>
      <c r="C542" s="44">
        <v>10000.0</v>
      </c>
      <c r="D542" s="7" t="str">
        <f>HYPERLINK("http://www.usrc.it/AppRendiConta/det_742_20191204.pdf","Determina 742 del 04/12/2019")</f>
        <v>Determina 742 del 04/12/2019</v>
      </c>
      <c r="E542" s="27" t="s">
        <v>755</v>
      </c>
      <c r="F542" s="5" t="s">
        <v>12</v>
      </c>
      <c r="G542" s="9" t="s">
        <v>751</v>
      </c>
      <c r="H542" s="10"/>
      <c r="I542" s="10"/>
      <c r="J542" s="10"/>
      <c r="K542" s="10"/>
    </row>
    <row r="543" ht="30.0" customHeight="1">
      <c r="A543" s="9" t="s">
        <v>305</v>
      </c>
      <c r="B543" s="35" t="s">
        <v>306</v>
      </c>
      <c r="C543" s="44">
        <v>16800.0</v>
      </c>
      <c r="D543" s="7" t="str">
        <f>HYPERLINK("http://www.usrc.it/AppRendiConta/det_743_20191204.pdf","Determina 743 del 04/12/2019")</f>
        <v>Determina 743 del 04/12/2019</v>
      </c>
      <c r="E543" s="27" t="s">
        <v>756</v>
      </c>
      <c r="F543" s="5" t="s">
        <v>12</v>
      </c>
      <c r="G543" s="9" t="s">
        <v>751</v>
      </c>
      <c r="H543" s="10"/>
      <c r="I543" s="10"/>
      <c r="J543" s="10"/>
      <c r="K543" s="10"/>
    </row>
    <row r="544" ht="30.0" customHeight="1">
      <c r="A544" s="9" t="s">
        <v>171</v>
      </c>
      <c r="B544" s="35" t="s">
        <v>172</v>
      </c>
      <c r="C544" s="44">
        <v>4000.0</v>
      </c>
      <c r="D544" s="7" t="str">
        <f>HYPERLINK("http://www.usrc.it/AppRendiConta/det_744_20191204.pdf","Determina 744 del 04/12/2019")</f>
        <v>Determina 744 del 04/12/2019</v>
      </c>
      <c r="E544" s="27" t="s">
        <v>757</v>
      </c>
      <c r="F544" s="5" t="s">
        <v>12</v>
      </c>
      <c r="G544" s="9" t="s">
        <v>751</v>
      </c>
      <c r="H544" s="10"/>
      <c r="I544" s="10"/>
      <c r="J544" s="10"/>
      <c r="K544" s="10"/>
    </row>
    <row r="545" ht="30.0" customHeight="1">
      <c r="A545" s="4" t="s">
        <v>270</v>
      </c>
      <c r="B545" s="35" t="s">
        <v>271</v>
      </c>
      <c r="C545" s="44">
        <v>186544.86</v>
      </c>
      <c r="D545" s="7" t="str">
        <f>HYPERLINK("http://www.usrc.it/AppRendiConta/det_747_20191206.pdf","Determina 747 del 06/12/2019")</f>
        <v>Determina 747 del 06/12/2019</v>
      </c>
      <c r="E545" s="27" t="s">
        <v>758</v>
      </c>
      <c r="F545" s="5" t="s">
        <v>12</v>
      </c>
      <c r="G545" s="9" t="s">
        <v>25</v>
      </c>
      <c r="H545" s="10"/>
      <c r="I545" s="10"/>
      <c r="J545" s="10"/>
      <c r="K545" s="10"/>
    </row>
    <row r="546" ht="30.0" customHeight="1">
      <c r="A546" s="4" t="s">
        <v>287</v>
      </c>
      <c r="B546" s="35" t="s">
        <v>288</v>
      </c>
      <c r="C546" s="44">
        <v>27412.01</v>
      </c>
      <c r="D546" s="7" t="str">
        <f>HYPERLINK("http://www.usrc.it/AppRendiConta/det_748_20191206.pdf","Determina 748 del 06/12/2019")</f>
        <v>Determina 748 del 06/12/2019</v>
      </c>
      <c r="E546" s="27" t="s">
        <v>759</v>
      </c>
      <c r="F546" s="5" t="s">
        <v>12</v>
      </c>
      <c r="G546" s="9" t="s">
        <v>25</v>
      </c>
      <c r="H546" s="10"/>
      <c r="I546" s="10"/>
      <c r="J546" s="10"/>
      <c r="K546" s="10"/>
    </row>
    <row r="547" ht="30.0" customHeight="1">
      <c r="A547" s="4" t="s">
        <v>573</v>
      </c>
      <c r="B547" s="35" t="s">
        <v>574</v>
      </c>
      <c r="C547" s="44">
        <v>188091.2</v>
      </c>
      <c r="D547" s="7" t="str">
        <f>HYPERLINK("http://www.usrc.it/AppRendiConta/det_749_20191206.pdf","Determina 749 del 06/12/2019")</f>
        <v>Determina 749 del 06/12/2019</v>
      </c>
      <c r="E547" s="27" t="s">
        <v>760</v>
      </c>
      <c r="F547" s="5" t="s">
        <v>12</v>
      </c>
      <c r="G547" s="9" t="s">
        <v>25</v>
      </c>
      <c r="H547" s="10"/>
      <c r="I547" s="10"/>
      <c r="J547" s="10"/>
      <c r="K547" s="10"/>
    </row>
    <row r="548" ht="30.0" customHeight="1">
      <c r="A548" s="4" t="s">
        <v>160</v>
      </c>
      <c r="B548" s="35" t="s">
        <v>161</v>
      </c>
      <c r="C548" s="44">
        <v>25890.0</v>
      </c>
      <c r="D548" s="7" t="str">
        <f>HYPERLINK("http://www.usrc.it/AppRendiConta/det_753_20191209.pdf","Determina 753 del 09/12/2019")</f>
        <v>Determina 753 del 09/12/2019</v>
      </c>
      <c r="E548" s="27" t="s">
        <v>761</v>
      </c>
      <c r="F548" s="5" t="s">
        <v>12</v>
      </c>
      <c r="G548" s="9" t="s">
        <v>762</v>
      </c>
      <c r="H548" s="10"/>
      <c r="I548" s="10"/>
      <c r="J548" s="10"/>
      <c r="K548" s="10"/>
    </row>
    <row r="549" ht="30.0" customHeight="1">
      <c r="A549" s="4" t="s">
        <v>98</v>
      </c>
      <c r="B549" s="35" t="s">
        <v>99</v>
      </c>
      <c r="C549" s="44">
        <v>106497.07</v>
      </c>
      <c r="D549" s="7" t="str">
        <f>HYPERLINK("http://www.usrc.it/AppRendiConta/det_754_20191209.pdf","Determina 754 del 09/12/2019")</f>
        <v>Determina 754 del 09/12/2019</v>
      </c>
      <c r="E549" s="27" t="s">
        <v>763</v>
      </c>
      <c r="F549" s="5" t="s">
        <v>12</v>
      </c>
      <c r="G549" s="9" t="s">
        <v>21</v>
      </c>
      <c r="H549" s="10"/>
      <c r="I549" s="10"/>
      <c r="J549" s="10"/>
      <c r="K549" s="10"/>
    </row>
    <row r="550" ht="30.0" customHeight="1">
      <c r="A550" s="4" t="s">
        <v>287</v>
      </c>
      <c r="B550" s="35" t="s">
        <v>288</v>
      </c>
      <c r="C550" s="44">
        <v>9936.73</v>
      </c>
      <c r="D550" s="7" t="str">
        <f>HYPERLINK("http://www.usrc.it/AppRendiConta/det_755_20191209.pdf","Determina 755 del 09/12/2019")</f>
        <v>Determina 755 del 09/12/2019</v>
      </c>
      <c r="E550" s="27" t="s">
        <v>764</v>
      </c>
      <c r="F550" s="5" t="s">
        <v>12</v>
      </c>
      <c r="G550" s="9" t="s">
        <v>21</v>
      </c>
      <c r="H550" s="10"/>
      <c r="I550" s="10"/>
      <c r="J550" s="10"/>
      <c r="K550" s="10"/>
    </row>
    <row r="551" ht="30.0" customHeight="1">
      <c r="A551" s="4" t="s">
        <v>29</v>
      </c>
      <c r="B551" s="35" t="s">
        <v>30</v>
      </c>
      <c r="C551" s="44">
        <v>171810.0</v>
      </c>
      <c r="D551" s="7" t="str">
        <f>HYPERLINK("http://www.usrc.it/AppRendiConta/det_756_20191209.pdf","Determina 756 del 09/12/2019")</f>
        <v>Determina 756 del 09/12/2019</v>
      </c>
      <c r="E551" s="27" t="s">
        <v>765</v>
      </c>
      <c r="F551" s="5" t="s">
        <v>12</v>
      </c>
      <c r="G551" s="9" t="s">
        <v>21</v>
      </c>
      <c r="H551" s="10"/>
      <c r="I551" s="10"/>
      <c r="J551" s="10"/>
      <c r="K551" s="10"/>
    </row>
    <row r="552" ht="30.0" customHeight="1">
      <c r="A552" s="4" t="s">
        <v>305</v>
      </c>
      <c r="B552" s="35" t="s">
        <v>306</v>
      </c>
      <c r="C552" s="44">
        <v>47112.17</v>
      </c>
      <c r="D552" s="7" t="str">
        <f>HYPERLINK("http://www.usrc.it/AppRendiConta/det_757_20191209.pdf","Determina 757 del 09/12/2019")</f>
        <v>Determina 757 del 09/12/2019</v>
      </c>
      <c r="E552" s="27" t="s">
        <v>766</v>
      </c>
      <c r="F552" s="5" t="s">
        <v>12</v>
      </c>
      <c r="G552" s="9" t="s">
        <v>762</v>
      </c>
      <c r="H552" s="10"/>
      <c r="I552" s="10"/>
      <c r="J552" s="10"/>
      <c r="K552" s="10"/>
    </row>
    <row r="553" ht="30.0" customHeight="1">
      <c r="A553" s="4" t="s">
        <v>313</v>
      </c>
      <c r="B553" s="35" t="s">
        <v>314</v>
      </c>
      <c r="C553" s="44">
        <v>65506.77</v>
      </c>
      <c r="D553" s="7" t="str">
        <f>HYPERLINK("http://www.usrc.it/AppRendiConta/det_759_20191209.pdf","Determina 759 del 09/12/2019")</f>
        <v>Determina 759 del 09/12/2019</v>
      </c>
      <c r="E553" s="27" t="s">
        <v>315</v>
      </c>
      <c r="F553" s="5" t="s">
        <v>12</v>
      </c>
      <c r="G553" s="9" t="s">
        <v>622</v>
      </c>
      <c r="H553" s="10"/>
      <c r="I553" s="10"/>
      <c r="J553" s="10"/>
      <c r="K553" s="10"/>
    </row>
    <row r="554" ht="30.0" customHeight="1">
      <c r="A554" s="4" t="s">
        <v>130</v>
      </c>
      <c r="B554" s="35" t="s">
        <v>131</v>
      </c>
      <c r="C554" s="44">
        <v>52470.02</v>
      </c>
      <c r="D554" s="7" t="str">
        <f>HYPERLINK("http://www.usrc.it/AppRendiConta/det_760_20191209.pdf","Determina 760 del 09/12/2019")</f>
        <v>Determina 760 del 09/12/2019</v>
      </c>
      <c r="E554" s="27" t="s">
        <v>767</v>
      </c>
      <c r="F554" s="5" t="s">
        <v>12</v>
      </c>
      <c r="G554" s="9" t="s">
        <v>35</v>
      </c>
      <c r="H554" s="10"/>
      <c r="I554" s="10"/>
      <c r="J554" s="10"/>
      <c r="K554" s="10"/>
    </row>
    <row r="555" ht="30.0" customHeight="1">
      <c r="A555" s="4" t="s">
        <v>584</v>
      </c>
      <c r="B555" s="35" t="s">
        <v>46</v>
      </c>
      <c r="C555" s="44">
        <v>549233.89</v>
      </c>
      <c r="D555" s="7" t="str">
        <f>HYPERLINK("http://www.usrc.it/AppRendiConta/det_763_20191211.pdf","Determina 763 del 11/12/2019")</f>
        <v>Determina 763 del 11/12/2019</v>
      </c>
      <c r="E555" s="27" t="s">
        <v>768</v>
      </c>
      <c r="F555" s="5" t="s">
        <v>12</v>
      </c>
      <c r="G555" s="9" t="s">
        <v>622</v>
      </c>
      <c r="H555" s="10"/>
      <c r="I555" s="10"/>
      <c r="J555" s="10"/>
      <c r="K555" s="10"/>
    </row>
    <row r="556" ht="30.0" customHeight="1">
      <c r="A556" s="4" t="s">
        <v>36</v>
      </c>
      <c r="B556" s="35" t="s">
        <v>37</v>
      </c>
      <c r="C556" s="44">
        <v>768367.86</v>
      </c>
      <c r="D556" s="7" t="str">
        <f>HYPERLINK("http://www.usrc.it/AppRendiConta/det_770_20191212.pdf","Determina 770 del 12/12/2019")</f>
        <v>Determina 770 del 12/12/2019</v>
      </c>
      <c r="E556" s="27" t="s">
        <v>769</v>
      </c>
      <c r="F556" s="5" t="s">
        <v>12</v>
      </c>
      <c r="G556" s="9" t="s">
        <v>479</v>
      </c>
      <c r="H556" s="10"/>
      <c r="I556" s="10"/>
      <c r="J556" s="10"/>
      <c r="K556" s="10"/>
    </row>
    <row r="557" ht="30.0" customHeight="1">
      <c r="A557" s="4" t="s">
        <v>78</v>
      </c>
      <c r="B557" s="35" t="s">
        <v>79</v>
      </c>
      <c r="C557" s="44">
        <v>3146440.52</v>
      </c>
      <c r="D557" s="7" t="str">
        <f>HYPERLINK("http://www.usrc.it/AppRendiConta/det_771_20191212.pdf","Determina 771 del 12/12/2019")</f>
        <v>Determina 771 del 12/12/2019</v>
      </c>
      <c r="E557" s="27" t="s">
        <v>770</v>
      </c>
      <c r="F557" s="5" t="s">
        <v>12</v>
      </c>
      <c r="G557" s="9" t="s">
        <v>479</v>
      </c>
      <c r="H557" s="10"/>
      <c r="I557" s="10"/>
      <c r="J557" s="10"/>
      <c r="K557" s="10"/>
    </row>
    <row r="558" ht="30.0" customHeight="1">
      <c r="A558" s="4" t="s">
        <v>244</v>
      </c>
      <c r="B558" s="35" t="s">
        <v>245</v>
      </c>
      <c r="C558" s="44">
        <v>2516378.63</v>
      </c>
      <c r="D558" s="7" t="str">
        <f>HYPERLINK("http://www.usrc.it/AppRendiConta/det_772_20191212.pdf","Determina 772 del 12/12/2019")</f>
        <v>Determina 772 del 12/12/2019</v>
      </c>
      <c r="E558" s="27" t="s">
        <v>771</v>
      </c>
      <c r="F558" s="5" t="s">
        <v>12</v>
      </c>
      <c r="G558" s="9" t="s">
        <v>479</v>
      </c>
      <c r="H558" s="10"/>
      <c r="I558" s="10"/>
      <c r="J558" s="10"/>
      <c r="K558" s="10"/>
    </row>
    <row r="559" ht="30.0" customHeight="1">
      <c r="A559" s="4" t="s">
        <v>171</v>
      </c>
      <c r="B559" s="35" t="s">
        <v>172</v>
      </c>
      <c r="C559" s="44">
        <v>423126.15</v>
      </c>
      <c r="D559" s="7" t="str">
        <f>HYPERLINK("http://www.usrc.it/AppRendiConta/det_773_20191212.pdf","Determina 773 del 12/12/2019")</f>
        <v>Determina 773 del 12/12/2019</v>
      </c>
      <c r="E559" s="27" t="s">
        <v>772</v>
      </c>
      <c r="F559" s="5" t="s">
        <v>12</v>
      </c>
      <c r="G559" s="9" t="s">
        <v>479</v>
      </c>
      <c r="H559" s="10"/>
      <c r="I559" s="10"/>
      <c r="J559" s="10"/>
      <c r="K559" s="10"/>
    </row>
    <row r="560" ht="30.0" customHeight="1">
      <c r="A560" s="4" t="s">
        <v>29</v>
      </c>
      <c r="B560" s="35" t="s">
        <v>30</v>
      </c>
      <c r="C560" s="44">
        <v>5826437.27</v>
      </c>
      <c r="D560" s="7" t="str">
        <f>HYPERLINK("http://www.usrc.it/AppRendiConta/det_774_20191212.pdf","Determina 774 del 12/12/2019")</f>
        <v>Determina 774 del 12/12/2019</v>
      </c>
      <c r="E560" s="27" t="s">
        <v>773</v>
      </c>
      <c r="F560" s="5" t="s">
        <v>12</v>
      </c>
      <c r="G560" s="9" t="s">
        <v>479</v>
      </c>
      <c r="H560" s="10"/>
      <c r="I560" s="10"/>
      <c r="J560" s="10"/>
      <c r="K560" s="10"/>
    </row>
    <row r="561" ht="30.0" customHeight="1">
      <c r="A561" s="4" t="s">
        <v>188</v>
      </c>
      <c r="B561" s="35" t="s">
        <v>189</v>
      </c>
      <c r="C561" s="44">
        <v>2140986.85</v>
      </c>
      <c r="D561" s="7" t="str">
        <f>HYPERLINK("http://www.usrc.it/AppRendiConta/det_775_20191212.pdf","Determina 775 del 12/12/2019")</f>
        <v>Determina 775 del 12/12/2019</v>
      </c>
      <c r="E561" s="27" t="s">
        <v>774</v>
      </c>
      <c r="F561" s="5" t="s">
        <v>12</v>
      </c>
      <c r="G561" s="9" t="s">
        <v>479</v>
      </c>
      <c r="H561" s="10"/>
      <c r="I561" s="10"/>
      <c r="J561" s="10"/>
      <c r="K561" s="10"/>
    </row>
    <row r="562" ht="30.0" customHeight="1">
      <c r="A562" s="4" t="s">
        <v>302</v>
      </c>
      <c r="B562" s="35" t="s">
        <v>303</v>
      </c>
      <c r="C562" s="44">
        <v>944087.75</v>
      </c>
      <c r="D562" s="7" t="str">
        <f>HYPERLINK("http://www.usrc.it/AppRendiConta/det_776_20191213.pdf","Determina 776 del 13/12/2019")</f>
        <v>Determina 776 del 13/12/2019</v>
      </c>
      <c r="E562" s="27" t="s">
        <v>775</v>
      </c>
      <c r="F562" s="5" t="s">
        <v>12</v>
      </c>
      <c r="G562" s="9" t="s">
        <v>479</v>
      </c>
      <c r="H562" s="10"/>
      <c r="I562" s="10"/>
      <c r="J562" s="10"/>
      <c r="K562" s="10"/>
    </row>
    <row r="563" ht="30.0" customHeight="1">
      <c r="A563" s="4" t="s">
        <v>776</v>
      </c>
      <c r="B563" s="35" t="s">
        <v>777</v>
      </c>
      <c r="C563" s="44">
        <v>58441.44</v>
      </c>
      <c r="D563" s="7" t="str">
        <f>HYPERLINK("http://www.usrc.it/AppRendiConta/det_777_20191213.pdf","Determina 777 del 13/12/2019")</f>
        <v>Determina 777 del 13/12/2019</v>
      </c>
      <c r="E563" s="27" t="s">
        <v>778</v>
      </c>
      <c r="F563" s="5" t="s">
        <v>12</v>
      </c>
      <c r="G563" s="9" t="s">
        <v>622</v>
      </c>
      <c r="H563" s="10"/>
      <c r="I563" s="10"/>
      <c r="J563" s="10"/>
      <c r="K563" s="10"/>
    </row>
    <row r="564" ht="30.0" customHeight="1">
      <c r="A564" s="4" t="s">
        <v>196</v>
      </c>
      <c r="B564" s="35" t="s">
        <v>197</v>
      </c>
      <c r="C564" s="44">
        <v>96259.16</v>
      </c>
      <c r="D564" s="7" t="str">
        <f>HYPERLINK("http://www.usrc.it/AppRendiConta/det_778_20191213.pdf","Determina 778 del 13/12/2019")</f>
        <v>Determina 778 del 13/12/2019</v>
      </c>
      <c r="E564" s="27" t="s">
        <v>779</v>
      </c>
      <c r="F564" s="5" t="s">
        <v>12</v>
      </c>
      <c r="G564" s="9" t="s">
        <v>21</v>
      </c>
      <c r="H564" s="10"/>
      <c r="I564" s="10"/>
      <c r="J564" s="10"/>
      <c r="K564" s="10"/>
    </row>
    <row r="565" ht="30.0" customHeight="1">
      <c r="A565" s="53" t="s">
        <v>29</v>
      </c>
      <c r="B565" s="35" t="s">
        <v>30</v>
      </c>
      <c r="C565" s="44">
        <v>49930.85</v>
      </c>
      <c r="D565" s="7" t="str">
        <f t="shared" ref="D565:D566" si="36">HYPERLINK("http://www.usrc.it/AppRendiConta/det_779_20191213.pdf","Determina 779 del 13/12/2019")</f>
        <v>Determina 779 del 13/12/2019</v>
      </c>
      <c r="E565" s="27" t="s">
        <v>780</v>
      </c>
      <c r="F565" s="5" t="s">
        <v>12</v>
      </c>
      <c r="G565" s="9" t="s">
        <v>21</v>
      </c>
      <c r="H565" s="10"/>
      <c r="I565" s="10"/>
      <c r="J565" s="10"/>
      <c r="K565" s="10"/>
    </row>
    <row r="566" ht="30.0" customHeight="1">
      <c r="A566" s="53" t="s">
        <v>29</v>
      </c>
      <c r="B566" s="35" t="s">
        <v>30</v>
      </c>
      <c r="C566" s="44">
        <v>153787.62</v>
      </c>
      <c r="D566" s="7" t="str">
        <f t="shared" si="36"/>
        <v>Determina 779 del 13/12/2019</v>
      </c>
      <c r="E566" s="27" t="s">
        <v>780</v>
      </c>
      <c r="F566" s="5" t="s">
        <v>12</v>
      </c>
      <c r="G566" s="9" t="s">
        <v>25</v>
      </c>
      <c r="H566" s="10"/>
      <c r="I566" s="10"/>
      <c r="J566" s="10"/>
      <c r="K566" s="10"/>
    </row>
    <row r="567" ht="30.0" customHeight="1">
      <c r="A567" s="4" t="s">
        <v>781</v>
      </c>
      <c r="B567" s="35" t="s">
        <v>782</v>
      </c>
      <c r="C567" s="44">
        <v>181838.99</v>
      </c>
      <c r="D567" s="7" t="str">
        <f>HYPERLINK("http://www.usrc.it/AppRendiConta/det_781_20191213.pdf","Determina 781 del 13/12/2019")</f>
        <v>Determina 781 del 13/12/2019</v>
      </c>
      <c r="E567" s="27" t="s">
        <v>783</v>
      </c>
      <c r="F567" s="5" t="s">
        <v>12</v>
      </c>
      <c r="G567" s="9" t="s">
        <v>622</v>
      </c>
      <c r="H567" s="10"/>
      <c r="I567" s="10"/>
      <c r="J567" s="10"/>
      <c r="K567" s="10"/>
    </row>
    <row r="568" ht="30.0" customHeight="1">
      <c r="A568" s="4" t="s">
        <v>217</v>
      </c>
      <c r="B568" s="35" t="s">
        <v>218</v>
      </c>
      <c r="C568" s="44">
        <v>34885.5</v>
      </c>
      <c r="D568" s="7" t="str">
        <f>HYPERLINK("http://www.usrc.it/AppRendiConta/det_782_20191213.pdf","Determina 782 del 13/12/2019")</f>
        <v>Determina 782 del 13/12/2019</v>
      </c>
      <c r="E568" s="27" t="s">
        <v>784</v>
      </c>
      <c r="F568" s="5" t="s">
        <v>12</v>
      </c>
      <c r="G568" s="9" t="s">
        <v>35</v>
      </c>
      <c r="H568" s="10"/>
      <c r="I568" s="10"/>
      <c r="J568" s="10"/>
      <c r="K568" s="10"/>
    </row>
    <row r="569" ht="30.0" customHeight="1">
      <c r="A569" s="4" t="s">
        <v>211</v>
      </c>
      <c r="B569" s="35" t="s">
        <v>212</v>
      </c>
      <c r="C569" s="44">
        <v>176607.1</v>
      </c>
      <c r="D569" s="7" t="str">
        <f t="shared" ref="D569:D570" si="37">HYPERLINK("http://www.usrc.it/AppRendiConta/det_783_20191213.pdf","Determina 783 del 13/12/2019")</f>
        <v>Determina 783 del 13/12/2019</v>
      </c>
      <c r="E569" s="27" t="s">
        <v>328</v>
      </c>
      <c r="F569" s="5" t="s">
        <v>12</v>
      </c>
      <c r="G569" s="9" t="s">
        <v>624</v>
      </c>
      <c r="H569" s="10"/>
      <c r="I569" s="10"/>
      <c r="J569" s="10"/>
      <c r="K569" s="10"/>
    </row>
    <row r="570" ht="30.0" customHeight="1">
      <c r="A570" s="4" t="s">
        <v>211</v>
      </c>
      <c r="B570" s="35" t="s">
        <v>212</v>
      </c>
      <c r="C570" s="44">
        <v>1821662.61</v>
      </c>
      <c r="D570" s="7" t="str">
        <f t="shared" si="37"/>
        <v>Determina 783 del 13/12/2019</v>
      </c>
      <c r="E570" s="27" t="s">
        <v>328</v>
      </c>
      <c r="F570" s="5" t="s">
        <v>12</v>
      </c>
      <c r="G570" s="9" t="s">
        <v>625</v>
      </c>
      <c r="H570" s="10"/>
      <c r="I570" s="10"/>
      <c r="J570" s="10"/>
      <c r="K570" s="10"/>
    </row>
    <row r="571" ht="30.0" customHeight="1">
      <c r="A571" s="4" t="s">
        <v>785</v>
      </c>
      <c r="B571" s="35" t="s">
        <v>786</v>
      </c>
      <c r="C571" s="44">
        <v>492645.31</v>
      </c>
      <c r="D571" s="7" t="str">
        <f>HYPERLINK("http://www.usrc.it/AppRendiConta/det_784_20191213.pdf","Determina 784 del 13/12/2019")</f>
        <v>Determina 784 del 13/12/2019</v>
      </c>
      <c r="E571" s="27" t="s">
        <v>787</v>
      </c>
      <c r="F571" s="5" t="s">
        <v>12</v>
      </c>
      <c r="G571" s="9" t="s">
        <v>479</v>
      </c>
      <c r="H571" s="10"/>
      <c r="I571" s="10"/>
      <c r="J571" s="10"/>
      <c r="K571" s="10"/>
    </row>
    <row r="572" ht="30.0" customHeight="1">
      <c r="A572" s="4" t="s">
        <v>788</v>
      </c>
      <c r="B572" s="35" t="s">
        <v>789</v>
      </c>
      <c r="C572" s="44">
        <v>21708.94</v>
      </c>
      <c r="D572" s="7" t="str">
        <f>HYPERLINK("http://www.usrc.it/AppRendiConta/det_785_20191213.pdf","Determina 785 del 13/12/2019")</f>
        <v>Determina 785 del 13/12/2019</v>
      </c>
      <c r="E572" s="27" t="s">
        <v>790</v>
      </c>
      <c r="F572" s="5" t="s">
        <v>12</v>
      </c>
      <c r="G572" s="9" t="s">
        <v>622</v>
      </c>
      <c r="H572" s="10"/>
      <c r="I572" s="10"/>
      <c r="J572" s="10"/>
      <c r="K572" s="10"/>
    </row>
    <row r="573" ht="30.0" customHeight="1">
      <c r="A573" s="4" t="s">
        <v>316</v>
      </c>
      <c r="B573" s="35" t="s">
        <v>317</v>
      </c>
      <c r="C573" s="44">
        <v>61076.67</v>
      </c>
      <c r="D573" s="7" t="str">
        <f>HYPERLINK("http://www.usrc.it/AppRendiConta/det_787_20191218.pdf","Determina 787 del 18/12/2019")</f>
        <v>Determina 787 del 18/12/2019</v>
      </c>
      <c r="E573" s="27" t="s">
        <v>791</v>
      </c>
      <c r="F573" s="5" t="s">
        <v>12</v>
      </c>
      <c r="G573" s="9" t="s">
        <v>747</v>
      </c>
      <c r="H573" s="10"/>
      <c r="I573" s="10"/>
      <c r="J573" s="10"/>
      <c r="K573" s="10"/>
    </row>
    <row r="574" ht="30.0" customHeight="1">
      <c r="A574" s="4" t="s">
        <v>409</v>
      </c>
      <c r="B574" s="35" t="s">
        <v>410</v>
      </c>
      <c r="C574" s="44">
        <v>7200.0</v>
      </c>
      <c r="D574" s="7" t="str">
        <f>HYPERLINK("http://www.usrc.it/AppRendiConta/det_788_20191218.pdf","Determina 788 del 18/12/2019")</f>
        <v>Determina 788 del 18/12/2019</v>
      </c>
      <c r="E574" s="27" t="s">
        <v>792</v>
      </c>
      <c r="F574" s="5" t="s">
        <v>12</v>
      </c>
      <c r="G574" s="9" t="s">
        <v>793</v>
      </c>
      <c r="H574" s="10"/>
      <c r="I574" s="10"/>
      <c r="J574" s="10"/>
      <c r="K574" s="10"/>
    </row>
    <row r="575" ht="30.0" customHeight="1">
      <c r="A575" s="4" t="s">
        <v>379</v>
      </c>
      <c r="B575" s="35" t="s">
        <v>410</v>
      </c>
      <c r="C575" s="44">
        <v>12000.0</v>
      </c>
      <c r="D575" s="7" t="str">
        <f>HYPERLINK("http://www.usrc.it/AppRendiConta/det_789_20191218.pdf","Determina 789 del 18/12/2019")</f>
        <v>Determina 789 del 18/12/2019</v>
      </c>
      <c r="E575" s="27" t="s">
        <v>794</v>
      </c>
      <c r="F575" s="5" t="s">
        <v>12</v>
      </c>
      <c r="G575" s="9" t="s">
        <v>793</v>
      </c>
      <c r="H575" s="10"/>
      <c r="I575" s="10"/>
      <c r="J575" s="10"/>
      <c r="K575" s="10"/>
    </row>
    <row r="576" ht="30.0" customHeight="1">
      <c r="A576" s="4" t="s">
        <v>282</v>
      </c>
      <c r="B576" s="35" t="s">
        <v>283</v>
      </c>
      <c r="C576" s="44">
        <v>7200.0</v>
      </c>
      <c r="D576" s="7" t="str">
        <f>HYPERLINK("http://www.usrc.it/AppRendiConta/det_790_20191218.pdf","Determina 790 del 18/12/2019")</f>
        <v>Determina 790 del 18/12/2019</v>
      </c>
      <c r="E576" s="27" t="s">
        <v>795</v>
      </c>
      <c r="F576" s="5" t="s">
        <v>12</v>
      </c>
      <c r="G576" s="9" t="s">
        <v>793</v>
      </c>
      <c r="H576" s="10"/>
      <c r="I576" s="10"/>
      <c r="J576" s="10"/>
      <c r="K576" s="10"/>
    </row>
    <row r="577" ht="30.0" customHeight="1">
      <c r="A577" s="4" t="s">
        <v>316</v>
      </c>
      <c r="B577" s="35" t="s">
        <v>317</v>
      </c>
      <c r="C577" s="44">
        <v>38220.0</v>
      </c>
      <c r="D577" s="7" t="str">
        <f>HYPERLINK("http://www.usrc.it/AppRendiConta/det_791_20191218.pdf","Determina 791 del 18/12/2019")</f>
        <v>Determina 791 del 18/12/2019</v>
      </c>
      <c r="E577" s="27" t="s">
        <v>796</v>
      </c>
      <c r="F577" s="5" t="s">
        <v>12</v>
      </c>
      <c r="G577" s="9" t="s">
        <v>793</v>
      </c>
      <c r="H577" s="10"/>
      <c r="I577" s="10"/>
      <c r="J577" s="10"/>
      <c r="K577" s="10"/>
    </row>
    <row r="578" ht="30.0" customHeight="1">
      <c r="A578" s="4" t="s">
        <v>555</v>
      </c>
      <c r="B578" s="35" t="s">
        <v>556</v>
      </c>
      <c r="C578" s="44">
        <v>14161.66</v>
      </c>
      <c r="D578" s="7" t="str">
        <f>HYPERLINK("http://www.usrc.it/AppRendiConta/det_792_20191218.pdf","Determina 792 del 18/12/2019")</f>
        <v>Determina 792 del 18/12/2019</v>
      </c>
      <c r="E578" s="27" t="s">
        <v>797</v>
      </c>
      <c r="F578" s="5" t="s">
        <v>12</v>
      </c>
      <c r="G578" s="9" t="s">
        <v>793</v>
      </c>
      <c r="H578" s="10"/>
      <c r="I578" s="10"/>
      <c r="J578" s="10"/>
      <c r="K578" s="10"/>
    </row>
    <row r="579" ht="30.0" customHeight="1">
      <c r="A579" s="4" t="s">
        <v>450</v>
      </c>
      <c r="B579" s="35" t="s">
        <v>451</v>
      </c>
      <c r="C579" s="44">
        <v>7700.0</v>
      </c>
      <c r="D579" s="7" t="str">
        <f>HYPERLINK("http://www.usrc.it/AppRendiConta/det_793_20191218.pdf","Determina 793 del 18/12/2019")</f>
        <v>Determina 793 del 18/12/2019</v>
      </c>
      <c r="E579" s="27" t="s">
        <v>798</v>
      </c>
      <c r="F579" s="5" t="s">
        <v>12</v>
      </c>
      <c r="G579" s="9" t="s">
        <v>793</v>
      </c>
      <c r="H579" s="10"/>
      <c r="I579" s="10"/>
      <c r="J579" s="10"/>
      <c r="K579" s="10"/>
    </row>
    <row r="580" ht="30.0" customHeight="1">
      <c r="A580" s="4" t="s">
        <v>618</v>
      </c>
      <c r="B580" s="35" t="s">
        <v>619</v>
      </c>
      <c r="C580" s="44">
        <v>52100.0</v>
      </c>
      <c r="D580" s="7" t="str">
        <f>HYPERLINK("http://www.usrc.it/AppRendiConta/det_794_20191218.pdf","Determina 794 del 18/12/2019")</f>
        <v>Determina 794 del 18/12/2019</v>
      </c>
      <c r="E580" s="27" t="s">
        <v>799</v>
      </c>
      <c r="F580" s="5" t="s">
        <v>12</v>
      </c>
      <c r="G580" s="9" t="s">
        <v>793</v>
      </c>
      <c r="H580" s="10"/>
      <c r="I580" s="10"/>
      <c r="J580" s="10"/>
      <c r="K580" s="10"/>
    </row>
    <row r="581" ht="30.0" customHeight="1">
      <c r="A581" s="4" t="s">
        <v>800</v>
      </c>
      <c r="B581" s="35" t="s">
        <v>801</v>
      </c>
      <c r="C581" s="44">
        <v>14000.0</v>
      </c>
      <c r="D581" s="7" t="str">
        <f>HYPERLINK("http://www.usrc.it/AppRendiConta/det_795_20191218.pdf","Determina 795 del 18/12/2019")</f>
        <v>Determina 795 del 18/12/2019</v>
      </c>
      <c r="E581" s="27" t="s">
        <v>802</v>
      </c>
      <c r="F581" s="5" t="s">
        <v>12</v>
      </c>
      <c r="G581" s="9" t="s">
        <v>793</v>
      </c>
      <c r="H581" s="10"/>
      <c r="I581" s="10"/>
      <c r="J581" s="10"/>
      <c r="K581" s="10"/>
    </row>
    <row r="582" ht="30.0" customHeight="1">
      <c r="A582" s="4" t="s">
        <v>211</v>
      </c>
      <c r="B582" s="35" t="s">
        <v>212</v>
      </c>
      <c r="C582" s="44">
        <v>30509.02</v>
      </c>
      <c r="D582" s="7" t="str">
        <f>HYPERLINK("http://www.usrc.it/AppRendiConta/det_796_20191218.pdf","Determina 796 del 18/12/2019")</f>
        <v>Determina 796 del 18/12/2019</v>
      </c>
      <c r="E582" s="27" t="s">
        <v>803</v>
      </c>
      <c r="F582" s="5" t="s">
        <v>12</v>
      </c>
      <c r="G582" s="9" t="s">
        <v>793</v>
      </c>
      <c r="H582" s="10"/>
      <c r="I582" s="10"/>
      <c r="J582" s="10"/>
      <c r="K582" s="10"/>
    </row>
    <row r="583" ht="30.0" customHeight="1">
      <c r="A583" s="4" t="s">
        <v>115</v>
      </c>
      <c r="B583" s="35" t="s">
        <v>116</v>
      </c>
      <c r="C583" s="44">
        <v>4000.0</v>
      </c>
      <c r="D583" s="7" t="str">
        <f>HYPERLINK("http://www.usrc.it/AppRendiConta/det_797_20191218.pdf","Determina 797 del 18/12/2019")</f>
        <v>Determina 797 del 18/12/2019</v>
      </c>
      <c r="E583" s="27" t="s">
        <v>804</v>
      </c>
      <c r="F583" s="5" t="s">
        <v>12</v>
      </c>
      <c r="G583" s="9" t="s">
        <v>793</v>
      </c>
      <c r="H583" s="10"/>
      <c r="I583" s="10"/>
      <c r="J583" s="10"/>
      <c r="K583" s="10"/>
    </row>
    <row r="584" ht="30.0" customHeight="1">
      <c r="A584" s="4" t="s">
        <v>14</v>
      </c>
      <c r="B584" s="35" t="s">
        <v>15</v>
      </c>
      <c r="C584" s="44">
        <v>5000.0</v>
      </c>
      <c r="D584" s="7" t="str">
        <f>HYPERLINK("http://www.usrc.it/AppRendiConta/det_798_20191218.pdf","Determina 798 del 18/12/2019")</f>
        <v>Determina 798 del 18/12/2019</v>
      </c>
      <c r="E584" s="27" t="s">
        <v>805</v>
      </c>
      <c r="F584" s="5" t="s">
        <v>12</v>
      </c>
      <c r="G584" s="9" t="s">
        <v>793</v>
      </c>
      <c r="H584" s="10"/>
      <c r="I584" s="10"/>
      <c r="J584" s="10"/>
      <c r="K584" s="10"/>
    </row>
    <row r="585" ht="30.0" customHeight="1">
      <c r="A585" s="4" t="s">
        <v>371</v>
      </c>
      <c r="B585" s="35" t="s">
        <v>372</v>
      </c>
      <c r="C585" s="44">
        <v>41436.66</v>
      </c>
      <c r="D585" s="7" t="str">
        <f>HYPERLINK("http://www.usrc.it/AppRendiConta/det_799_20191218.pdf","Determina 799 del 18/12/2019")</f>
        <v>Determina 799 del 18/12/2019</v>
      </c>
      <c r="E585" s="27" t="s">
        <v>806</v>
      </c>
      <c r="F585" s="5" t="s">
        <v>12</v>
      </c>
      <c r="G585" s="9" t="s">
        <v>793</v>
      </c>
      <c r="H585" s="10"/>
      <c r="I585" s="10"/>
      <c r="J585" s="10"/>
      <c r="K585" s="10"/>
    </row>
    <row r="586" ht="30.0" customHeight="1">
      <c r="A586" s="4" t="s">
        <v>382</v>
      </c>
      <c r="B586" s="35" t="s">
        <v>383</v>
      </c>
      <c r="C586" s="44">
        <v>47928.01</v>
      </c>
      <c r="D586" s="7" t="str">
        <f>HYPERLINK("http://www.usrc.it/AppRendiConta/det_802_20191219.pdf","Determina 802 del 19/12/2019")</f>
        <v>Determina 802 del 19/12/2019</v>
      </c>
      <c r="E586" s="27" t="s">
        <v>807</v>
      </c>
      <c r="F586" s="5" t="s">
        <v>12</v>
      </c>
      <c r="G586" s="9" t="s">
        <v>622</v>
      </c>
      <c r="H586" s="10"/>
      <c r="I586" s="10"/>
      <c r="J586" s="10"/>
      <c r="K586" s="10"/>
    </row>
    <row r="587" ht="30.0" customHeight="1">
      <c r="A587" s="4" t="s">
        <v>808</v>
      </c>
      <c r="B587" s="35" t="s">
        <v>809</v>
      </c>
      <c r="C587" s="44">
        <v>29098.96</v>
      </c>
      <c r="D587" s="7" t="str">
        <f t="shared" ref="D587:D588" si="38">HYPERLINK("http://www.usrc.it/AppRendiConta/det_803_20191219.pdf","Determina 803 del 19/12/2019")</f>
        <v>Determina 803 del 19/12/2019</v>
      </c>
      <c r="E587" s="27" t="s">
        <v>810</v>
      </c>
      <c r="F587" s="5" t="s">
        <v>12</v>
      </c>
      <c r="G587" s="9" t="s">
        <v>624</v>
      </c>
      <c r="H587" s="10"/>
      <c r="I587" s="10"/>
      <c r="J587" s="10"/>
      <c r="K587" s="10"/>
    </row>
    <row r="588" ht="30.0" customHeight="1">
      <c r="A588" s="4" t="s">
        <v>808</v>
      </c>
      <c r="B588" s="35" t="s">
        <v>809</v>
      </c>
      <c r="C588" s="44">
        <v>24520.26</v>
      </c>
      <c r="D588" s="7" t="str">
        <f t="shared" si="38"/>
        <v>Determina 803 del 19/12/2019</v>
      </c>
      <c r="E588" s="27" t="s">
        <v>810</v>
      </c>
      <c r="F588" s="5" t="s">
        <v>12</v>
      </c>
      <c r="G588" s="9" t="s">
        <v>625</v>
      </c>
      <c r="H588" s="10"/>
      <c r="I588" s="10"/>
      <c r="J588" s="10"/>
      <c r="K588" s="10"/>
    </row>
    <row r="589" ht="30.0" customHeight="1">
      <c r="A589" s="54"/>
      <c r="B589" s="52"/>
      <c r="C589" s="55"/>
      <c r="D589" s="56"/>
      <c r="E589" s="54"/>
      <c r="F589" s="57"/>
      <c r="G589" s="58"/>
      <c r="H589" s="10"/>
      <c r="I589" s="10"/>
      <c r="J589" s="10"/>
      <c r="K589" s="10"/>
    </row>
    <row r="590" ht="30.0" customHeight="1">
      <c r="A590" s="54"/>
      <c r="B590" s="52"/>
      <c r="C590" s="55"/>
      <c r="D590" s="56"/>
      <c r="E590" s="54"/>
      <c r="F590" s="57"/>
      <c r="G590" s="58"/>
      <c r="H590" s="10"/>
      <c r="I590" s="10"/>
      <c r="J590" s="10"/>
      <c r="K590" s="10"/>
    </row>
    <row r="591" ht="30.0" customHeight="1">
      <c r="A591" s="54"/>
      <c r="B591" s="52"/>
      <c r="C591" s="55"/>
      <c r="D591" s="56"/>
      <c r="E591" s="54"/>
      <c r="F591" s="57"/>
      <c r="G591" s="58"/>
      <c r="H591" s="10"/>
      <c r="I591" s="10"/>
      <c r="J591" s="10"/>
      <c r="K591" s="10"/>
    </row>
    <row r="592" ht="30.0" customHeight="1">
      <c r="A592" s="54"/>
      <c r="B592" s="52"/>
      <c r="C592" s="55"/>
      <c r="D592" s="56"/>
      <c r="E592" s="54"/>
      <c r="F592" s="57"/>
      <c r="G592" s="58"/>
      <c r="H592" s="10"/>
      <c r="I592" s="10"/>
      <c r="J592" s="10"/>
      <c r="K592" s="10"/>
    </row>
    <row r="593" ht="30.0" customHeight="1">
      <c r="A593" s="54"/>
      <c r="B593" s="52"/>
      <c r="C593" s="55"/>
      <c r="D593" s="56"/>
      <c r="E593" s="54"/>
      <c r="F593" s="57"/>
      <c r="G593" s="58"/>
      <c r="H593" s="10"/>
      <c r="I593" s="10"/>
      <c r="J593" s="10"/>
      <c r="K593" s="10"/>
    </row>
    <row r="594" ht="30.0" customHeight="1">
      <c r="A594" s="54"/>
      <c r="B594" s="52"/>
      <c r="C594" s="55"/>
      <c r="D594" s="56"/>
      <c r="E594" s="54"/>
      <c r="F594" s="57"/>
      <c r="G594" s="58"/>
      <c r="H594" s="10"/>
      <c r="I594" s="10"/>
      <c r="J594" s="10"/>
      <c r="K594" s="10"/>
    </row>
    <row r="595" ht="30.0" customHeight="1">
      <c r="A595" s="54"/>
      <c r="B595" s="52"/>
      <c r="C595" s="55"/>
      <c r="D595" s="56"/>
      <c r="E595" s="54"/>
      <c r="F595" s="57"/>
      <c r="G595" s="58"/>
      <c r="H595" s="10"/>
      <c r="I595" s="10"/>
      <c r="J595" s="10"/>
      <c r="K595" s="10"/>
    </row>
    <row r="596" ht="30.0" customHeight="1">
      <c r="A596" s="54"/>
      <c r="B596" s="52"/>
      <c r="C596" s="55"/>
      <c r="D596" s="56"/>
      <c r="E596" s="54"/>
      <c r="F596" s="57"/>
      <c r="G596" s="58"/>
      <c r="H596" s="10"/>
      <c r="I596" s="10"/>
      <c r="J596" s="10"/>
      <c r="K596" s="10"/>
    </row>
    <row r="597" ht="30.0" customHeight="1">
      <c r="A597" s="54"/>
      <c r="B597" s="52"/>
      <c r="C597" s="55"/>
      <c r="D597" s="56"/>
      <c r="E597" s="54"/>
      <c r="F597" s="57"/>
      <c r="G597" s="58"/>
      <c r="H597" s="10"/>
      <c r="I597" s="10"/>
      <c r="J597" s="10"/>
      <c r="K597" s="10"/>
    </row>
    <row r="598" ht="30.0" customHeight="1">
      <c r="A598" s="54"/>
      <c r="B598" s="52"/>
      <c r="C598" s="55"/>
      <c r="D598" s="56"/>
      <c r="E598" s="54"/>
      <c r="F598" s="57"/>
      <c r="G598" s="58"/>
      <c r="H598" s="10"/>
      <c r="I598" s="10"/>
      <c r="J598" s="10"/>
      <c r="K598" s="10"/>
    </row>
    <row r="599" ht="30.0" customHeight="1">
      <c r="A599" s="54"/>
      <c r="B599" s="52"/>
      <c r="C599" s="55"/>
      <c r="D599" s="56"/>
      <c r="E599" s="54"/>
      <c r="F599" s="57"/>
      <c r="G599" s="58"/>
      <c r="H599" s="10"/>
      <c r="I599" s="10"/>
      <c r="J599" s="10"/>
      <c r="K599" s="10"/>
    </row>
    <row r="600" ht="30.0" customHeight="1">
      <c r="A600" s="54"/>
      <c r="B600" s="52"/>
      <c r="C600" s="55"/>
      <c r="D600" s="56"/>
      <c r="E600" s="54"/>
      <c r="F600" s="57"/>
      <c r="G600" s="58"/>
      <c r="H600" s="10"/>
      <c r="I600" s="10"/>
      <c r="J600" s="10"/>
      <c r="K600" s="10"/>
    </row>
    <row r="601" ht="30.0" customHeight="1">
      <c r="A601" s="54"/>
      <c r="B601" s="52"/>
      <c r="C601" s="55"/>
      <c r="D601" s="56"/>
      <c r="E601" s="54"/>
      <c r="F601" s="57"/>
      <c r="G601" s="58"/>
      <c r="H601" s="10"/>
      <c r="I601" s="10"/>
      <c r="J601" s="10"/>
      <c r="K601" s="10"/>
    </row>
    <row r="602" ht="30.0" customHeight="1">
      <c r="A602" s="54"/>
      <c r="B602" s="52"/>
      <c r="C602" s="55"/>
      <c r="D602" s="56"/>
      <c r="E602" s="54"/>
      <c r="F602" s="57"/>
      <c r="G602" s="58"/>
      <c r="H602" s="10"/>
      <c r="I602" s="10"/>
      <c r="J602" s="10"/>
      <c r="K602" s="10"/>
    </row>
    <row r="603" ht="30.0" customHeight="1">
      <c r="A603" s="54"/>
      <c r="B603" s="52"/>
      <c r="C603" s="55"/>
      <c r="D603" s="56"/>
      <c r="E603" s="54"/>
      <c r="F603" s="57"/>
      <c r="G603" s="58"/>
      <c r="H603" s="10"/>
      <c r="I603" s="10"/>
      <c r="J603" s="10"/>
      <c r="K603" s="10"/>
    </row>
    <row r="604" ht="30.0" customHeight="1">
      <c r="A604" s="54"/>
      <c r="B604" s="52"/>
      <c r="C604" s="55"/>
      <c r="D604" s="56"/>
      <c r="E604" s="54"/>
      <c r="F604" s="57"/>
      <c r="G604" s="58"/>
      <c r="H604" s="10"/>
      <c r="I604" s="10"/>
      <c r="J604" s="10"/>
      <c r="K604" s="10"/>
    </row>
    <row r="605" ht="30.0" customHeight="1">
      <c r="A605" s="54"/>
      <c r="B605" s="52"/>
      <c r="C605" s="55"/>
      <c r="D605" s="56"/>
      <c r="E605" s="54"/>
      <c r="F605" s="57"/>
      <c r="G605" s="58"/>
      <c r="H605" s="10"/>
      <c r="I605" s="10"/>
      <c r="J605" s="10"/>
      <c r="K605" s="10"/>
    </row>
    <row r="606" ht="30.0" customHeight="1">
      <c r="A606" s="54"/>
      <c r="B606" s="52"/>
      <c r="C606" s="55"/>
      <c r="D606" s="56"/>
      <c r="E606" s="54"/>
      <c r="F606" s="57"/>
      <c r="G606" s="58"/>
      <c r="H606" s="10"/>
      <c r="I606" s="10"/>
      <c r="J606" s="10"/>
      <c r="K606" s="10"/>
    </row>
    <row r="607" ht="30.0" customHeight="1">
      <c r="A607" s="54"/>
      <c r="B607" s="52"/>
      <c r="C607" s="55"/>
      <c r="D607" s="56"/>
      <c r="E607" s="54"/>
      <c r="F607" s="57"/>
      <c r="G607" s="58"/>
      <c r="H607" s="10"/>
      <c r="I607" s="10"/>
      <c r="J607" s="10"/>
      <c r="K607" s="10"/>
    </row>
    <row r="608" ht="30.0" customHeight="1">
      <c r="A608" s="54"/>
      <c r="B608" s="52"/>
      <c r="C608" s="55"/>
      <c r="D608" s="56"/>
      <c r="E608" s="54"/>
      <c r="F608" s="57"/>
      <c r="G608" s="58"/>
      <c r="H608" s="10"/>
      <c r="I608" s="10"/>
      <c r="J608" s="10"/>
      <c r="K608" s="10"/>
    </row>
    <row r="609" ht="30.0" customHeight="1">
      <c r="A609" s="54"/>
      <c r="B609" s="52"/>
      <c r="C609" s="55"/>
      <c r="D609" s="56"/>
      <c r="E609" s="54"/>
      <c r="F609" s="57"/>
      <c r="G609" s="58"/>
      <c r="H609" s="10"/>
      <c r="I609" s="10"/>
      <c r="J609" s="10"/>
      <c r="K609" s="10"/>
    </row>
    <row r="610" ht="30.0" customHeight="1">
      <c r="A610" s="54"/>
      <c r="B610" s="52"/>
      <c r="C610" s="55"/>
      <c r="D610" s="56"/>
      <c r="E610" s="54"/>
      <c r="F610" s="57"/>
      <c r="G610" s="58"/>
      <c r="H610" s="10"/>
      <c r="I610" s="10"/>
      <c r="J610" s="10"/>
      <c r="K610" s="10"/>
    </row>
    <row r="611" ht="30.0" customHeight="1">
      <c r="A611" s="54"/>
      <c r="B611" s="52"/>
      <c r="C611" s="55"/>
      <c r="D611" s="56"/>
      <c r="E611" s="54"/>
      <c r="F611" s="57"/>
      <c r="G611" s="58"/>
      <c r="H611" s="10"/>
      <c r="I611" s="10"/>
      <c r="J611" s="10"/>
      <c r="K611" s="10"/>
    </row>
    <row r="612" ht="30.0" customHeight="1">
      <c r="A612" s="54"/>
      <c r="B612" s="52"/>
      <c r="C612" s="55"/>
      <c r="D612" s="56"/>
      <c r="E612" s="54"/>
      <c r="F612" s="57"/>
      <c r="G612" s="58"/>
      <c r="H612" s="10"/>
      <c r="I612" s="10"/>
      <c r="J612" s="10"/>
      <c r="K612" s="10"/>
    </row>
    <row r="613" ht="30.0" customHeight="1">
      <c r="A613" s="54"/>
      <c r="B613" s="52"/>
      <c r="C613" s="55"/>
      <c r="D613" s="56"/>
      <c r="E613" s="54"/>
      <c r="F613" s="57"/>
      <c r="G613" s="58"/>
      <c r="H613" s="10"/>
      <c r="I613" s="10"/>
      <c r="J613" s="10"/>
      <c r="K613" s="10"/>
    </row>
    <row r="614" ht="30.0" customHeight="1">
      <c r="A614" s="54"/>
      <c r="B614" s="52"/>
      <c r="C614" s="55"/>
      <c r="D614" s="56"/>
      <c r="E614" s="54"/>
      <c r="F614" s="57"/>
      <c r="G614" s="58"/>
      <c r="H614" s="10"/>
      <c r="I614" s="10"/>
      <c r="J614" s="10"/>
      <c r="K614" s="10"/>
    </row>
    <row r="615" ht="30.0" customHeight="1">
      <c r="A615" s="54"/>
      <c r="B615" s="52"/>
      <c r="C615" s="55"/>
      <c r="D615" s="56"/>
      <c r="E615" s="54"/>
      <c r="F615" s="57"/>
      <c r="G615" s="58"/>
      <c r="H615" s="10"/>
      <c r="I615" s="10"/>
      <c r="J615" s="10"/>
      <c r="K615" s="10"/>
    </row>
    <row r="616" ht="30.0" customHeight="1">
      <c r="A616" s="54"/>
      <c r="B616" s="52"/>
      <c r="C616" s="55"/>
      <c r="D616" s="56"/>
      <c r="E616" s="54"/>
      <c r="F616" s="57"/>
      <c r="G616" s="58"/>
      <c r="H616" s="10"/>
      <c r="I616" s="10"/>
      <c r="J616" s="10"/>
      <c r="K616" s="10"/>
    </row>
    <row r="617" ht="30.0" customHeight="1">
      <c r="A617" s="54"/>
      <c r="B617" s="52"/>
      <c r="C617" s="55"/>
      <c r="D617" s="56"/>
      <c r="E617" s="54"/>
      <c r="F617" s="57"/>
      <c r="G617" s="58"/>
      <c r="H617" s="10"/>
      <c r="I617" s="10"/>
      <c r="J617" s="10"/>
      <c r="K617" s="10"/>
    </row>
    <row r="618" ht="30.0" customHeight="1">
      <c r="A618" s="54"/>
      <c r="B618" s="52"/>
      <c r="C618" s="55"/>
      <c r="D618" s="56"/>
      <c r="E618" s="54"/>
      <c r="F618" s="57"/>
      <c r="G618" s="58"/>
      <c r="H618" s="10"/>
      <c r="I618" s="10"/>
      <c r="J618" s="10"/>
      <c r="K618" s="10"/>
    </row>
    <row r="619" ht="30.0" customHeight="1">
      <c r="A619" s="54"/>
      <c r="B619" s="52"/>
      <c r="C619" s="55"/>
      <c r="D619" s="56"/>
      <c r="E619" s="54"/>
      <c r="F619" s="57"/>
      <c r="G619" s="58"/>
      <c r="H619" s="10"/>
      <c r="I619" s="10"/>
      <c r="J619" s="10"/>
      <c r="K619" s="10"/>
    </row>
    <row r="620" ht="30.0" customHeight="1">
      <c r="A620" s="54"/>
      <c r="B620" s="52"/>
      <c r="C620" s="55"/>
      <c r="D620" s="56"/>
      <c r="E620" s="54"/>
      <c r="F620" s="57"/>
      <c r="G620" s="58"/>
      <c r="H620" s="10"/>
      <c r="I620" s="10"/>
      <c r="J620" s="10"/>
      <c r="K620" s="10"/>
    </row>
    <row r="621" ht="30.0" customHeight="1">
      <c r="A621" s="54"/>
      <c r="B621" s="52"/>
      <c r="C621" s="55"/>
      <c r="D621" s="56"/>
      <c r="E621" s="54"/>
      <c r="F621" s="57"/>
      <c r="G621" s="58"/>
      <c r="H621" s="10"/>
      <c r="I621" s="10"/>
      <c r="J621" s="10"/>
      <c r="K621" s="10"/>
    </row>
    <row r="622" ht="30.0" customHeight="1">
      <c r="A622" s="54"/>
      <c r="B622" s="52"/>
      <c r="C622" s="55"/>
      <c r="D622" s="56"/>
      <c r="E622" s="54"/>
      <c r="F622" s="57"/>
      <c r="G622" s="58"/>
      <c r="H622" s="10"/>
      <c r="I622" s="10"/>
      <c r="J622" s="10"/>
      <c r="K622" s="10"/>
    </row>
    <row r="623" ht="30.0" customHeight="1">
      <c r="A623" s="54"/>
      <c r="B623" s="52"/>
      <c r="C623" s="55"/>
      <c r="D623" s="56"/>
      <c r="E623" s="54"/>
      <c r="F623" s="57"/>
      <c r="G623" s="58"/>
      <c r="H623" s="10"/>
      <c r="I623" s="10"/>
      <c r="J623" s="10"/>
      <c r="K623" s="10"/>
    </row>
    <row r="624" ht="30.0" customHeight="1">
      <c r="A624" s="54"/>
      <c r="B624" s="52"/>
      <c r="C624" s="55"/>
      <c r="D624" s="56"/>
      <c r="E624" s="54"/>
      <c r="F624" s="57"/>
      <c r="G624" s="58"/>
      <c r="H624" s="10"/>
      <c r="I624" s="10"/>
      <c r="J624" s="10"/>
      <c r="K624" s="10"/>
    </row>
    <row r="625" ht="30.0" customHeight="1">
      <c r="A625" s="54"/>
      <c r="B625" s="52"/>
      <c r="C625" s="55"/>
      <c r="D625" s="56"/>
      <c r="E625" s="54"/>
      <c r="F625" s="57"/>
      <c r="G625" s="58"/>
      <c r="H625" s="10"/>
      <c r="I625" s="10"/>
      <c r="J625" s="10"/>
      <c r="K625" s="10"/>
    </row>
    <row r="626" ht="30.0" customHeight="1">
      <c r="A626" s="54"/>
      <c r="B626" s="52"/>
      <c r="C626" s="55"/>
      <c r="D626" s="56"/>
      <c r="E626" s="54"/>
      <c r="F626" s="57"/>
      <c r="G626" s="58"/>
      <c r="H626" s="10"/>
      <c r="I626" s="10"/>
      <c r="J626" s="10"/>
      <c r="K626" s="10"/>
    </row>
    <row r="627" ht="30.0" customHeight="1">
      <c r="A627" s="54"/>
      <c r="B627" s="52"/>
      <c r="C627" s="55"/>
      <c r="D627" s="56"/>
      <c r="E627" s="54"/>
      <c r="F627" s="57"/>
      <c r="G627" s="58"/>
      <c r="H627" s="10"/>
      <c r="I627" s="10"/>
      <c r="J627" s="10"/>
      <c r="K627" s="10"/>
    </row>
    <row r="628" ht="30.0" customHeight="1">
      <c r="A628" s="54"/>
      <c r="B628" s="52"/>
      <c r="C628" s="55"/>
      <c r="D628" s="56"/>
      <c r="E628" s="54"/>
      <c r="F628" s="57"/>
      <c r="G628" s="58"/>
      <c r="H628" s="10"/>
      <c r="I628" s="10"/>
      <c r="J628" s="10"/>
      <c r="K628" s="10"/>
    </row>
    <row r="629" ht="30.0" customHeight="1">
      <c r="A629" s="54"/>
      <c r="B629" s="52"/>
      <c r="C629" s="55"/>
      <c r="D629" s="56"/>
      <c r="E629" s="54"/>
      <c r="F629" s="57"/>
      <c r="G629" s="58"/>
      <c r="H629" s="10"/>
      <c r="I629" s="10"/>
      <c r="J629" s="10"/>
      <c r="K629" s="10"/>
    </row>
    <row r="630" ht="30.0" customHeight="1">
      <c r="A630" s="54"/>
      <c r="B630" s="52"/>
      <c r="C630" s="55"/>
      <c r="D630" s="56"/>
      <c r="E630" s="54"/>
      <c r="F630" s="57"/>
      <c r="G630" s="58"/>
      <c r="H630" s="10"/>
      <c r="I630" s="10"/>
      <c r="J630" s="10"/>
      <c r="K630" s="10"/>
    </row>
    <row r="631" ht="30.0" customHeight="1">
      <c r="A631" s="54"/>
      <c r="B631" s="52"/>
      <c r="C631" s="55"/>
      <c r="D631" s="56"/>
      <c r="E631" s="54"/>
      <c r="F631" s="57"/>
      <c r="G631" s="58"/>
      <c r="H631" s="10"/>
      <c r="I631" s="10"/>
      <c r="J631" s="10"/>
      <c r="K631" s="10"/>
    </row>
    <row r="632" ht="30.0" customHeight="1">
      <c r="A632" s="54"/>
      <c r="B632" s="52"/>
      <c r="C632" s="55"/>
      <c r="D632" s="56"/>
      <c r="E632" s="54"/>
      <c r="F632" s="57"/>
      <c r="G632" s="58"/>
      <c r="H632" s="10"/>
      <c r="I632" s="10"/>
      <c r="J632" s="10"/>
      <c r="K632" s="10"/>
    </row>
    <row r="633" ht="30.0" customHeight="1">
      <c r="A633" s="54"/>
      <c r="B633" s="52"/>
      <c r="C633" s="55"/>
      <c r="D633" s="56"/>
      <c r="E633" s="54"/>
      <c r="F633" s="57"/>
      <c r="G633" s="58"/>
      <c r="H633" s="10"/>
      <c r="I633" s="10"/>
      <c r="J633" s="10"/>
      <c r="K633" s="10"/>
    </row>
    <row r="634" ht="30.0" customHeight="1">
      <c r="A634" s="54"/>
      <c r="B634" s="52"/>
      <c r="C634" s="55"/>
      <c r="D634" s="56"/>
      <c r="E634" s="54"/>
      <c r="F634" s="57"/>
      <c r="G634" s="58"/>
      <c r="H634" s="10"/>
      <c r="I634" s="10"/>
      <c r="J634" s="10"/>
      <c r="K634" s="10"/>
    </row>
    <row r="635" ht="30.0" customHeight="1">
      <c r="A635" s="54"/>
      <c r="B635" s="52"/>
      <c r="C635" s="55"/>
      <c r="D635" s="56"/>
      <c r="E635" s="54"/>
      <c r="F635" s="57"/>
      <c r="G635" s="58"/>
      <c r="H635" s="10"/>
      <c r="I635" s="10"/>
      <c r="J635" s="10"/>
      <c r="K635" s="10"/>
    </row>
    <row r="636" ht="30.0" customHeight="1">
      <c r="A636" s="54"/>
      <c r="B636" s="52"/>
      <c r="C636" s="55"/>
      <c r="D636" s="56"/>
      <c r="E636" s="54"/>
      <c r="F636" s="57"/>
      <c r="G636" s="58"/>
      <c r="H636" s="10"/>
      <c r="I636" s="10"/>
      <c r="J636" s="10"/>
      <c r="K636" s="10"/>
    </row>
    <row r="637" ht="30.0" customHeight="1">
      <c r="A637" s="54"/>
      <c r="B637" s="52"/>
      <c r="C637" s="55"/>
      <c r="D637" s="56"/>
      <c r="E637" s="54"/>
      <c r="F637" s="57"/>
      <c r="G637" s="58"/>
      <c r="H637" s="10"/>
      <c r="I637" s="10"/>
      <c r="J637" s="10"/>
      <c r="K637" s="10"/>
    </row>
    <row r="638" ht="30.0" customHeight="1">
      <c r="A638" s="54"/>
      <c r="B638" s="52"/>
      <c r="C638" s="55"/>
      <c r="D638" s="56"/>
      <c r="E638" s="54"/>
      <c r="F638" s="57"/>
      <c r="G638" s="58"/>
      <c r="H638" s="10"/>
      <c r="I638" s="10"/>
      <c r="J638" s="10"/>
      <c r="K638" s="10"/>
    </row>
    <row r="639" ht="30.0" customHeight="1">
      <c r="A639" s="54"/>
      <c r="B639" s="52"/>
      <c r="C639" s="55"/>
      <c r="D639" s="56"/>
      <c r="E639" s="54"/>
      <c r="F639" s="57"/>
      <c r="G639" s="58"/>
      <c r="H639" s="10"/>
      <c r="I639" s="10"/>
      <c r="J639" s="10"/>
      <c r="K639" s="10"/>
    </row>
    <row r="640" ht="30.0" customHeight="1">
      <c r="A640" s="54"/>
      <c r="B640" s="52"/>
      <c r="C640" s="55"/>
      <c r="D640" s="56"/>
      <c r="E640" s="54"/>
      <c r="F640" s="57"/>
      <c r="G640" s="58"/>
      <c r="H640" s="10"/>
      <c r="I640" s="10"/>
      <c r="J640" s="10"/>
      <c r="K640" s="10"/>
    </row>
    <row r="641" ht="30.0" customHeight="1">
      <c r="A641" s="54"/>
      <c r="B641" s="52"/>
      <c r="C641" s="55"/>
      <c r="D641" s="56"/>
      <c r="E641" s="54"/>
      <c r="F641" s="57"/>
      <c r="G641" s="58"/>
      <c r="H641" s="10"/>
      <c r="I641" s="10"/>
      <c r="J641" s="10"/>
      <c r="K641" s="10"/>
    </row>
    <row r="642" ht="30.0" customHeight="1">
      <c r="A642" s="54"/>
      <c r="B642" s="52"/>
      <c r="C642" s="55"/>
      <c r="D642" s="56"/>
      <c r="E642" s="54"/>
      <c r="F642" s="57"/>
      <c r="G642" s="58"/>
      <c r="H642" s="10"/>
      <c r="I642" s="10"/>
      <c r="J642" s="10"/>
      <c r="K642" s="10"/>
    </row>
    <row r="643" ht="30.0" customHeight="1">
      <c r="A643" s="54"/>
      <c r="B643" s="52"/>
      <c r="C643" s="55"/>
      <c r="D643" s="56"/>
      <c r="E643" s="54"/>
      <c r="F643" s="57"/>
      <c r="G643" s="58"/>
      <c r="H643" s="10"/>
      <c r="I643" s="10"/>
      <c r="J643" s="10"/>
      <c r="K643" s="10"/>
    </row>
    <row r="644" ht="30.0" customHeight="1">
      <c r="A644" s="54"/>
      <c r="B644" s="52"/>
      <c r="C644" s="55"/>
      <c r="D644" s="56"/>
      <c r="E644" s="54"/>
      <c r="F644" s="57"/>
      <c r="G644" s="58"/>
      <c r="H644" s="10"/>
      <c r="I644" s="10"/>
      <c r="J644" s="10"/>
      <c r="K644" s="10"/>
    </row>
    <row r="645" ht="30.0" customHeight="1">
      <c r="A645" s="54"/>
      <c r="B645" s="52"/>
      <c r="C645" s="55"/>
      <c r="D645" s="56"/>
      <c r="E645" s="54"/>
      <c r="F645" s="57"/>
      <c r="G645" s="58"/>
      <c r="H645" s="10"/>
      <c r="I645" s="10"/>
      <c r="J645" s="10"/>
      <c r="K645" s="10"/>
    </row>
    <row r="646" ht="30.0" customHeight="1">
      <c r="A646" s="54"/>
      <c r="B646" s="52"/>
      <c r="C646" s="55"/>
      <c r="D646" s="56"/>
      <c r="E646" s="54"/>
      <c r="F646" s="57"/>
      <c r="G646" s="58"/>
      <c r="H646" s="10"/>
      <c r="I646" s="10"/>
      <c r="J646" s="10"/>
      <c r="K646" s="10"/>
    </row>
    <row r="647" ht="30.0" customHeight="1">
      <c r="A647" s="54"/>
      <c r="B647" s="52"/>
      <c r="C647" s="55"/>
      <c r="D647" s="56"/>
      <c r="E647" s="54"/>
      <c r="F647" s="57"/>
      <c r="G647" s="58"/>
      <c r="H647" s="10"/>
      <c r="I647" s="10"/>
      <c r="J647" s="10"/>
      <c r="K647" s="10"/>
    </row>
    <row r="648" ht="30.0" customHeight="1">
      <c r="A648" s="54"/>
      <c r="B648" s="52"/>
      <c r="C648" s="55"/>
      <c r="D648" s="56"/>
      <c r="E648" s="54"/>
      <c r="F648" s="57"/>
      <c r="G648" s="58"/>
      <c r="H648" s="10"/>
      <c r="I648" s="10"/>
      <c r="J648" s="10"/>
      <c r="K648" s="10"/>
    </row>
    <row r="649" ht="30.0" customHeight="1">
      <c r="A649" s="54"/>
      <c r="B649" s="52"/>
      <c r="C649" s="55"/>
      <c r="D649" s="56"/>
      <c r="E649" s="54"/>
      <c r="F649" s="57"/>
      <c r="G649" s="58"/>
      <c r="H649" s="10"/>
      <c r="I649" s="10"/>
      <c r="J649" s="10"/>
      <c r="K649" s="10"/>
    </row>
    <row r="650" ht="30.0" customHeight="1">
      <c r="A650" s="54"/>
      <c r="B650" s="52"/>
      <c r="C650" s="55"/>
      <c r="D650" s="56"/>
      <c r="E650" s="54"/>
      <c r="F650" s="57"/>
      <c r="G650" s="58"/>
      <c r="H650" s="10"/>
      <c r="I650" s="10"/>
      <c r="J650" s="10"/>
      <c r="K650" s="10"/>
    </row>
    <row r="651" ht="30.0" customHeight="1">
      <c r="A651" s="54"/>
      <c r="B651" s="52"/>
      <c r="C651" s="55"/>
      <c r="D651" s="56"/>
      <c r="E651" s="54"/>
      <c r="F651" s="57"/>
      <c r="G651" s="58"/>
      <c r="H651" s="10"/>
      <c r="I651" s="10"/>
      <c r="J651" s="10"/>
      <c r="K651" s="10"/>
    </row>
    <row r="652" ht="30.0" customHeight="1">
      <c r="A652" s="54"/>
      <c r="B652" s="52"/>
      <c r="C652" s="55"/>
      <c r="D652" s="56"/>
      <c r="E652" s="54"/>
      <c r="F652" s="57"/>
      <c r="G652" s="58"/>
      <c r="H652" s="10"/>
      <c r="I652" s="10"/>
      <c r="J652" s="10"/>
      <c r="K652" s="10"/>
    </row>
    <row r="653" ht="30.0" customHeight="1">
      <c r="A653" s="54"/>
      <c r="B653" s="52"/>
      <c r="C653" s="55"/>
      <c r="D653" s="56"/>
      <c r="E653" s="54"/>
      <c r="F653" s="57"/>
      <c r="G653" s="58"/>
      <c r="H653" s="10"/>
      <c r="I653" s="10"/>
      <c r="J653" s="10"/>
      <c r="K653" s="10"/>
    </row>
    <row r="654" ht="30.0" customHeight="1">
      <c r="A654" s="54"/>
      <c r="B654" s="52"/>
      <c r="C654" s="55"/>
      <c r="D654" s="56"/>
      <c r="E654" s="54"/>
      <c r="F654" s="57"/>
      <c r="G654" s="58"/>
      <c r="H654" s="10"/>
      <c r="I654" s="10"/>
      <c r="J654" s="10"/>
      <c r="K654" s="10"/>
    </row>
    <row r="655" ht="30.0" customHeight="1">
      <c r="A655" s="54"/>
      <c r="B655" s="52"/>
      <c r="C655" s="55"/>
      <c r="D655" s="56"/>
      <c r="E655" s="54"/>
      <c r="F655" s="57"/>
      <c r="G655" s="58"/>
      <c r="H655" s="10"/>
      <c r="I655" s="10"/>
      <c r="J655" s="10"/>
      <c r="K655" s="10"/>
    </row>
    <row r="656" ht="30.0" customHeight="1">
      <c r="A656" s="54"/>
      <c r="B656" s="52"/>
      <c r="C656" s="55"/>
      <c r="D656" s="56"/>
      <c r="E656" s="54"/>
      <c r="F656" s="57"/>
      <c r="G656" s="58"/>
      <c r="H656" s="10"/>
      <c r="I656" s="10"/>
      <c r="J656" s="10"/>
      <c r="K656" s="10"/>
    </row>
    <row r="657" ht="30.0" customHeight="1">
      <c r="A657" s="54"/>
      <c r="B657" s="52"/>
      <c r="C657" s="55"/>
      <c r="D657" s="56"/>
      <c r="E657" s="54"/>
      <c r="F657" s="57"/>
      <c r="G657" s="58"/>
      <c r="H657" s="10"/>
      <c r="I657" s="10"/>
      <c r="J657" s="10"/>
      <c r="K657" s="10"/>
    </row>
    <row r="658" ht="30.0" customHeight="1">
      <c r="A658" s="54"/>
      <c r="B658" s="52"/>
      <c r="C658" s="55"/>
      <c r="D658" s="56"/>
      <c r="E658" s="54"/>
      <c r="F658" s="57"/>
      <c r="G658" s="58"/>
      <c r="H658" s="10"/>
      <c r="I658" s="10"/>
      <c r="J658" s="10"/>
      <c r="K658" s="10"/>
    </row>
    <row r="659" ht="30.0" customHeight="1">
      <c r="A659" s="54"/>
      <c r="B659" s="52"/>
      <c r="C659" s="55"/>
      <c r="D659" s="56"/>
      <c r="E659" s="54"/>
      <c r="F659" s="57"/>
      <c r="G659" s="58"/>
      <c r="H659" s="10"/>
      <c r="I659" s="10"/>
      <c r="J659" s="10"/>
      <c r="K659" s="10"/>
    </row>
    <row r="660" ht="30.0" customHeight="1">
      <c r="A660" s="54"/>
      <c r="B660" s="52"/>
      <c r="C660" s="55"/>
      <c r="D660" s="56"/>
      <c r="E660" s="54"/>
      <c r="F660" s="57"/>
      <c r="G660" s="58"/>
      <c r="H660" s="10"/>
      <c r="I660" s="10"/>
      <c r="J660" s="10"/>
      <c r="K660" s="10"/>
    </row>
    <row r="661" ht="30.0" customHeight="1">
      <c r="A661" s="54"/>
      <c r="B661" s="52"/>
      <c r="C661" s="55"/>
      <c r="D661" s="56"/>
      <c r="E661" s="54"/>
      <c r="F661" s="57"/>
      <c r="G661" s="58"/>
      <c r="H661" s="10"/>
      <c r="I661" s="10"/>
      <c r="J661" s="10"/>
      <c r="K661" s="10"/>
    </row>
    <row r="662" ht="30.0" customHeight="1">
      <c r="A662" s="54"/>
      <c r="B662" s="52"/>
      <c r="C662" s="55"/>
      <c r="D662" s="56"/>
      <c r="E662" s="54"/>
      <c r="F662" s="57"/>
      <c r="G662" s="58"/>
      <c r="H662" s="10"/>
      <c r="I662" s="10"/>
      <c r="J662" s="10"/>
      <c r="K662" s="10"/>
    </row>
    <row r="663" ht="30.0" customHeight="1">
      <c r="A663" s="54"/>
      <c r="B663" s="52"/>
      <c r="C663" s="55"/>
      <c r="D663" s="56"/>
      <c r="E663" s="54"/>
      <c r="F663" s="57"/>
      <c r="G663" s="58"/>
      <c r="H663" s="10"/>
      <c r="I663" s="10"/>
      <c r="J663" s="10"/>
      <c r="K663" s="10"/>
    </row>
    <row r="664" ht="30.0" customHeight="1">
      <c r="A664" s="54"/>
      <c r="B664" s="52"/>
      <c r="C664" s="55"/>
      <c r="D664" s="56"/>
      <c r="E664" s="54"/>
      <c r="F664" s="57"/>
      <c r="G664" s="58"/>
      <c r="H664" s="10"/>
      <c r="I664" s="10"/>
      <c r="J664" s="10"/>
      <c r="K664" s="10"/>
    </row>
    <row r="665" ht="30.0" customHeight="1">
      <c r="A665" s="54"/>
      <c r="B665" s="52"/>
      <c r="C665" s="55"/>
      <c r="D665" s="56"/>
      <c r="E665" s="54"/>
      <c r="F665" s="57"/>
      <c r="G665" s="58"/>
      <c r="H665" s="10"/>
      <c r="I665" s="10"/>
      <c r="J665" s="10"/>
      <c r="K665" s="10"/>
    </row>
    <row r="666" ht="30.0" customHeight="1">
      <c r="A666" s="54"/>
      <c r="B666" s="52"/>
      <c r="C666" s="55"/>
      <c r="D666" s="56"/>
      <c r="E666" s="54"/>
      <c r="F666" s="57"/>
      <c r="G666" s="58"/>
      <c r="H666" s="10"/>
      <c r="I666" s="10"/>
      <c r="J666" s="10"/>
      <c r="K666" s="10"/>
    </row>
    <row r="667" ht="30.0" customHeight="1">
      <c r="A667" s="54"/>
      <c r="B667" s="52"/>
      <c r="C667" s="55"/>
      <c r="D667" s="56"/>
      <c r="E667" s="54"/>
      <c r="F667" s="57"/>
      <c r="G667" s="58"/>
      <c r="H667" s="10"/>
      <c r="I667" s="10"/>
      <c r="J667" s="10"/>
      <c r="K667" s="10"/>
    </row>
    <row r="668" ht="30.0" customHeight="1">
      <c r="A668" s="54"/>
      <c r="B668" s="52"/>
      <c r="C668" s="55"/>
      <c r="D668" s="56"/>
      <c r="E668" s="54"/>
      <c r="F668" s="57"/>
      <c r="G668" s="58"/>
      <c r="H668" s="10"/>
      <c r="I668" s="10"/>
      <c r="J668" s="10"/>
      <c r="K668" s="10"/>
    </row>
    <row r="669" ht="30.0" customHeight="1">
      <c r="A669" s="54"/>
      <c r="B669" s="52"/>
      <c r="C669" s="55"/>
      <c r="D669" s="56"/>
      <c r="E669" s="54"/>
      <c r="F669" s="57"/>
      <c r="G669" s="58"/>
      <c r="H669" s="10"/>
      <c r="I669" s="10"/>
      <c r="J669" s="10"/>
      <c r="K669" s="10"/>
    </row>
    <row r="670" ht="30.0" customHeight="1">
      <c r="A670" s="54"/>
      <c r="B670" s="52"/>
      <c r="C670" s="55"/>
      <c r="D670" s="56"/>
      <c r="E670" s="54"/>
      <c r="F670" s="57"/>
      <c r="G670" s="58"/>
      <c r="H670" s="10"/>
      <c r="I670" s="10"/>
      <c r="J670" s="10"/>
      <c r="K670" s="10"/>
    </row>
    <row r="671" ht="30.0" customHeight="1">
      <c r="A671" s="54"/>
      <c r="B671" s="52"/>
      <c r="C671" s="55"/>
      <c r="D671" s="56"/>
      <c r="E671" s="54"/>
      <c r="F671" s="57"/>
      <c r="G671" s="58"/>
      <c r="H671" s="10"/>
      <c r="I671" s="10"/>
      <c r="J671" s="10"/>
      <c r="K671" s="10"/>
    </row>
    <row r="672" ht="30.0" customHeight="1">
      <c r="A672" s="54"/>
      <c r="B672" s="52"/>
      <c r="C672" s="55"/>
      <c r="D672" s="56"/>
      <c r="E672" s="54"/>
      <c r="F672" s="57"/>
      <c r="G672" s="58"/>
      <c r="H672" s="10"/>
      <c r="I672" s="10"/>
      <c r="J672" s="10"/>
      <c r="K672" s="10"/>
    </row>
    <row r="673" ht="30.0" customHeight="1">
      <c r="A673" s="54"/>
      <c r="B673" s="52"/>
      <c r="C673" s="55"/>
      <c r="D673" s="56"/>
      <c r="E673" s="54"/>
      <c r="F673" s="57"/>
      <c r="G673" s="58"/>
      <c r="H673" s="10"/>
      <c r="I673" s="10"/>
      <c r="J673" s="10"/>
      <c r="K673" s="10"/>
    </row>
    <row r="674" ht="30.0" customHeight="1">
      <c r="A674" s="54"/>
      <c r="B674" s="52"/>
      <c r="C674" s="55"/>
      <c r="D674" s="56"/>
      <c r="E674" s="54"/>
      <c r="F674" s="57"/>
      <c r="G674" s="58"/>
      <c r="H674" s="10"/>
      <c r="I674" s="10"/>
      <c r="J674" s="10"/>
      <c r="K674" s="10"/>
    </row>
    <row r="675" ht="30.0" customHeight="1">
      <c r="A675" s="54"/>
      <c r="B675" s="52"/>
      <c r="C675" s="55"/>
      <c r="D675" s="56"/>
      <c r="E675" s="54"/>
      <c r="F675" s="57"/>
      <c r="G675" s="58"/>
      <c r="H675" s="10"/>
      <c r="I675" s="10"/>
      <c r="J675" s="10"/>
      <c r="K675" s="10"/>
    </row>
    <row r="676" ht="30.0" customHeight="1">
      <c r="A676" s="54"/>
      <c r="B676" s="52"/>
      <c r="C676" s="55"/>
      <c r="D676" s="56"/>
      <c r="E676" s="54"/>
      <c r="F676" s="57"/>
      <c r="G676" s="58"/>
      <c r="H676" s="10"/>
      <c r="I676" s="10"/>
      <c r="J676" s="10"/>
      <c r="K676" s="10"/>
    </row>
    <row r="677" ht="30.0" customHeight="1">
      <c r="A677" s="54"/>
      <c r="B677" s="52"/>
      <c r="C677" s="55"/>
      <c r="D677" s="56"/>
      <c r="E677" s="54"/>
      <c r="F677" s="57"/>
      <c r="G677" s="58"/>
      <c r="H677" s="10"/>
      <c r="I677" s="10"/>
      <c r="J677" s="10"/>
      <c r="K677" s="10"/>
    </row>
    <row r="678" ht="30.0" customHeight="1">
      <c r="A678" s="54"/>
      <c r="B678" s="52"/>
      <c r="C678" s="55"/>
      <c r="D678" s="56"/>
      <c r="E678" s="54"/>
      <c r="F678" s="57"/>
      <c r="G678" s="58"/>
      <c r="H678" s="10"/>
      <c r="I678" s="10"/>
      <c r="J678" s="10"/>
      <c r="K678" s="10"/>
    </row>
    <row r="679" ht="30.0" customHeight="1">
      <c r="A679" s="54"/>
      <c r="B679" s="52"/>
      <c r="C679" s="55"/>
      <c r="D679" s="56"/>
      <c r="E679" s="54"/>
      <c r="F679" s="57"/>
      <c r="G679" s="58"/>
      <c r="H679" s="10"/>
      <c r="I679" s="10"/>
      <c r="J679" s="10"/>
      <c r="K679" s="10"/>
    </row>
    <row r="680" ht="30.0" customHeight="1">
      <c r="A680" s="54"/>
      <c r="B680" s="52"/>
      <c r="C680" s="55"/>
      <c r="D680" s="56"/>
      <c r="E680" s="54"/>
      <c r="F680" s="57"/>
      <c r="G680" s="58"/>
      <c r="H680" s="10"/>
      <c r="I680" s="10"/>
      <c r="J680" s="10"/>
      <c r="K680" s="10"/>
    </row>
    <row r="681" ht="30.0" customHeight="1">
      <c r="A681" s="54"/>
      <c r="B681" s="52"/>
      <c r="C681" s="55"/>
      <c r="D681" s="56"/>
      <c r="E681" s="54"/>
      <c r="F681" s="57"/>
      <c r="G681" s="58"/>
      <c r="H681" s="10"/>
      <c r="I681" s="10"/>
      <c r="J681" s="10"/>
      <c r="K681" s="10"/>
    </row>
    <row r="682" ht="30.0" customHeight="1">
      <c r="A682" s="54"/>
      <c r="B682" s="52"/>
      <c r="C682" s="55"/>
      <c r="D682" s="56"/>
      <c r="E682" s="54"/>
      <c r="F682" s="57"/>
      <c r="G682" s="58"/>
      <c r="H682" s="10"/>
      <c r="I682" s="10"/>
      <c r="J682" s="10"/>
      <c r="K682" s="10"/>
    </row>
    <row r="683" ht="30.0" customHeight="1">
      <c r="A683" s="54"/>
      <c r="B683" s="52"/>
      <c r="C683" s="55"/>
      <c r="D683" s="56"/>
      <c r="E683" s="54"/>
      <c r="F683" s="57"/>
      <c r="G683" s="58"/>
      <c r="H683" s="10"/>
      <c r="I683" s="10"/>
      <c r="J683" s="10"/>
      <c r="K683" s="10"/>
    </row>
    <row r="684" ht="30.0" customHeight="1">
      <c r="A684" s="54"/>
      <c r="B684" s="52"/>
      <c r="C684" s="55"/>
      <c r="D684" s="56"/>
      <c r="E684" s="54"/>
      <c r="F684" s="57"/>
      <c r="G684" s="58"/>
      <c r="H684" s="10"/>
      <c r="I684" s="10"/>
      <c r="J684" s="10"/>
      <c r="K684" s="10"/>
    </row>
    <row r="685" ht="30.0" customHeight="1">
      <c r="A685" s="54"/>
      <c r="B685" s="52"/>
      <c r="C685" s="55"/>
      <c r="D685" s="56"/>
      <c r="E685" s="54"/>
      <c r="F685" s="57"/>
      <c r="G685" s="58"/>
      <c r="H685" s="10"/>
      <c r="I685" s="10"/>
      <c r="J685" s="10"/>
      <c r="K685" s="10"/>
    </row>
    <row r="686" ht="30.0" customHeight="1">
      <c r="A686" s="54"/>
      <c r="B686" s="52"/>
      <c r="C686" s="55"/>
      <c r="D686" s="56"/>
      <c r="E686" s="54"/>
      <c r="F686" s="57"/>
      <c r="G686" s="58"/>
      <c r="H686" s="10"/>
      <c r="I686" s="10"/>
      <c r="J686" s="10"/>
      <c r="K686" s="10"/>
    </row>
    <row r="687" ht="30.0" customHeight="1">
      <c r="A687" s="54"/>
      <c r="B687" s="52"/>
      <c r="C687" s="55"/>
      <c r="D687" s="56"/>
      <c r="E687" s="54"/>
      <c r="F687" s="57"/>
      <c r="G687" s="58"/>
      <c r="H687" s="10"/>
      <c r="I687" s="10"/>
      <c r="J687" s="10"/>
      <c r="K687" s="10"/>
    </row>
    <row r="688" ht="30.0" customHeight="1">
      <c r="A688" s="54"/>
      <c r="B688" s="52"/>
      <c r="C688" s="55"/>
      <c r="D688" s="56"/>
      <c r="E688" s="54"/>
      <c r="F688" s="57"/>
      <c r="G688" s="58"/>
      <c r="H688" s="10"/>
      <c r="I688" s="10"/>
      <c r="J688" s="10"/>
      <c r="K688" s="10"/>
    </row>
    <row r="689" ht="30.0" customHeight="1">
      <c r="A689" s="54"/>
      <c r="B689" s="52"/>
      <c r="C689" s="55"/>
      <c r="D689" s="56"/>
      <c r="E689" s="54"/>
      <c r="F689" s="57"/>
      <c r="G689" s="58"/>
      <c r="H689" s="10"/>
      <c r="I689" s="10"/>
      <c r="J689" s="10"/>
      <c r="K689" s="10"/>
    </row>
    <row r="690" ht="30.0" customHeight="1">
      <c r="A690" s="54"/>
      <c r="B690" s="52"/>
      <c r="C690" s="55"/>
      <c r="D690" s="56"/>
      <c r="E690" s="54"/>
      <c r="F690" s="57"/>
      <c r="G690" s="58"/>
      <c r="H690" s="10"/>
      <c r="I690" s="10"/>
      <c r="J690" s="10"/>
      <c r="K690" s="10"/>
    </row>
    <row r="691" ht="30.0" customHeight="1">
      <c r="A691" s="54"/>
      <c r="B691" s="52"/>
      <c r="C691" s="55"/>
      <c r="D691" s="56"/>
      <c r="E691" s="54"/>
      <c r="F691" s="57"/>
      <c r="G691" s="58"/>
      <c r="H691" s="10"/>
      <c r="I691" s="10"/>
      <c r="J691" s="10"/>
      <c r="K691" s="10"/>
    </row>
    <row r="692" ht="30.0" customHeight="1">
      <c r="A692" s="54"/>
      <c r="B692" s="52"/>
      <c r="C692" s="55"/>
      <c r="D692" s="56"/>
      <c r="E692" s="54"/>
      <c r="F692" s="57"/>
      <c r="G692" s="58"/>
      <c r="H692" s="10"/>
      <c r="I692" s="10"/>
      <c r="J692" s="10"/>
      <c r="K692" s="10"/>
    </row>
    <row r="693" ht="30.0" customHeight="1">
      <c r="A693" s="54"/>
      <c r="B693" s="52"/>
      <c r="C693" s="55"/>
      <c r="D693" s="56"/>
      <c r="E693" s="54"/>
      <c r="F693" s="57"/>
      <c r="G693" s="58"/>
      <c r="H693" s="10"/>
      <c r="I693" s="10"/>
      <c r="J693" s="10"/>
      <c r="K693" s="10"/>
    </row>
    <row r="694" ht="30.0" customHeight="1">
      <c r="A694" s="54"/>
      <c r="B694" s="52"/>
      <c r="C694" s="55"/>
      <c r="D694" s="56"/>
      <c r="E694" s="54"/>
      <c r="F694" s="57"/>
      <c r="G694" s="58"/>
      <c r="H694" s="10"/>
      <c r="I694" s="10"/>
      <c r="J694" s="10"/>
      <c r="K694" s="10"/>
    </row>
    <row r="695" ht="30.0" customHeight="1">
      <c r="A695" s="54"/>
      <c r="B695" s="52"/>
      <c r="C695" s="55"/>
      <c r="D695" s="56"/>
      <c r="E695" s="54"/>
      <c r="F695" s="57"/>
      <c r="G695" s="58"/>
      <c r="H695" s="10"/>
      <c r="I695" s="10"/>
      <c r="J695" s="10"/>
      <c r="K695" s="10"/>
    </row>
    <row r="696" ht="30.0" customHeight="1">
      <c r="A696" s="54"/>
      <c r="B696" s="52"/>
      <c r="C696" s="55"/>
      <c r="D696" s="56"/>
      <c r="E696" s="54"/>
      <c r="F696" s="57"/>
      <c r="G696" s="58"/>
      <c r="H696" s="10"/>
      <c r="I696" s="10"/>
      <c r="J696" s="10"/>
      <c r="K696" s="10"/>
    </row>
    <row r="697" ht="30.0" customHeight="1">
      <c r="A697" s="54"/>
      <c r="B697" s="52"/>
      <c r="C697" s="55"/>
      <c r="D697" s="56"/>
      <c r="E697" s="54"/>
      <c r="F697" s="57"/>
      <c r="G697" s="58"/>
      <c r="H697" s="10"/>
      <c r="I697" s="10"/>
      <c r="J697" s="10"/>
      <c r="K697" s="10"/>
    </row>
    <row r="698" ht="30.0" customHeight="1">
      <c r="A698" s="54"/>
      <c r="B698" s="52"/>
      <c r="C698" s="55"/>
      <c r="D698" s="56"/>
      <c r="E698" s="54"/>
      <c r="F698" s="57"/>
      <c r="G698" s="58"/>
      <c r="H698" s="10"/>
      <c r="I698" s="10"/>
      <c r="J698" s="10"/>
      <c r="K698" s="10"/>
    </row>
    <row r="699" ht="30.0" customHeight="1">
      <c r="A699" s="54"/>
      <c r="B699" s="52"/>
      <c r="C699" s="55"/>
      <c r="D699" s="56"/>
      <c r="E699" s="54"/>
      <c r="F699" s="57"/>
      <c r="G699" s="58"/>
      <c r="H699" s="10"/>
      <c r="I699" s="10"/>
      <c r="J699" s="10"/>
      <c r="K699" s="10"/>
    </row>
    <row r="700" ht="30.0" customHeight="1">
      <c r="A700" s="54"/>
      <c r="B700" s="52"/>
      <c r="C700" s="55"/>
      <c r="D700" s="56"/>
      <c r="E700" s="54"/>
      <c r="F700" s="57"/>
      <c r="G700" s="58"/>
      <c r="H700" s="10"/>
      <c r="I700" s="10"/>
      <c r="J700" s="10"/>
      <c r="K700" s="10"/>
    </row>
    <row r="701" ht="30.0" customHeight="1">
      <c r="A701" s="54"/>
      <c r="B701" s="52"/>
      <c r="C701" s="55"/>
      <c r="D701" s="56"/>
      <c r="E701" s="54"/>
      <c r="F701" s="57"/>
      <c r="G701" s="58"/>
      <c r="H701" s="10"/>
      <c r="I701" s="10"/>
      <c r="J701" s="10"/>
      <c r="K701" s="10"/>
    </row>
    <row r="702" ht="30.0" customHeight="1">
      <c r="A702" s="54"/>
      <c r="B702" s="52"/>
      <c r="C702" s="55"/>
      <c r="D702" s="56"/>
      <c r="E702" s="54"/>
      <c r="F702" s="57"/>
      <c r="G702" s="58"/>
      <c r="H702" s="10"/>
      <c r="I702" s="10"/>
      <c r="J702" s="10"/>
      <c r="K702" s="10"/>
    </row>
    <row r="703" ht="30.0" customHeight="1">
      <c r="A703" s="54"/>
      <c r="B703" s="52"/>
      <c r="C703" s="55"/>
      <c r="D703" s="56"/>
      <c r="E703" s="54"/>
      <c r="F703" s="57"/>
      <c r="G703" s="58"/>
      <c r="H703" s="10"/>
      <c r="I703" s="10"/>
      <c r="J703" s="10"/>
      <c r="K703" s="10"/>
    </row>
    <row r="704" ht="30.0" customHeight="1">
      <c r="A704" s="54"/>
      <c r="B704" s="52"/>
      <c r="C704" s="55"/>
      <c r="D704" s="56"/>
      <c r="E704" s="54"/>
      <c r="F704" s="57"/>
      <c r="G704" s="58"/>
      <c r="H704" s="10"/>
      <c r="I704" s="10"/>
      <c r="J704" s="10"/>
      <c r="K704" s="10"/>
    </row>
    <row r="705" ht="30.0" customHeight="1">
      <c r="A705" s="54"/>
      <c r="B705" s="52"/>
      <c r="C705" s="55"/>
      <c r="D705" s="56"/>
      <c r="E705" s="54"/>
      <c r="F705" s="57"/>
      <c r="G705" s="58"/>
      <c r="H705" s="10"/>
      <c r="I705" s="10"/>
      <c r="J705" s="10"/>
      <c r="K705" s="10"/>
    </row>
    <row r="706" ht="30.0" customHeight="1">
      <c r="A706" s="54"/>
      <c r="B706" s="52"/>
      <c r="C706" s="55"/>
      <c r="D706" s="56"/>
      <c r="E706" s="54"/>
      <c r="F706" s="57"/>
      <c r="G706" s="58"/>
      <c r="H706" s="10"/>
      <c r="I706" s="10"/>
      <c r="J706" s="10"/>
      <c r="K706" s="10"/>
    </row>
    <row r="707" ht="30.0" customHeight="1">
      <c r="A707" s="54"/>
      <c r="B707" s="52"/>
      <c r="C707" s="55"/>
      <c r="D707" s="56"/>
      <c r="E707" s="54"/>
      <c r="F707" s="57"/>
      <c r="G707" s="58"/>
      <c r="H707" s="10"/>
      <c r="I707" s="10"/>
      <c r="J707" s="10"/>
      <c r="K707" s="10"/>
    </row>
    <row r="708" ht="30.0" customHeight="1">
      <c r="A708" s="54"/>
      <c r="B708" s="52"/>
      <c r="C708" s="55"/>
      <c r="D708" s="56"/>
      <c r="E708" s="54"/>
      <c r="F708" s="57"/>
      <c r="G708" s="58"/>
      <c r="H708" s="10"/>
      <c r="I708" s="10"/>
      <c r="J708" s="10"/>
      <c r="K708" s="10"/>
    </row>
    <row r="709" ht="30.0" customHeight="1">
      <c r="A709" s="54"/>
      <c r="B709" s="52"/>
      <c r="C709" s="55"/>
      <c r="D709" s="56"/>
      <c r="E709" s="54"/>
      <c r="F709" s="57"/>
      <c r="G709" s="58"/>
      <c r="H709" s="10"/>
      <c r="I709" s="10"/>
      <c r="J709" s="10"/>
      <c r="K709" s="10"/>
    </row>
    <row r="710" ht="30.0" customHeight="1">
      <c r="A710" s="54"/>
      <c r="B710" s="52"/>
      <c r="C710" s="55"/>
      <c r="D710" s="56"/>
      <c r="E710" s="54"/>
      <c r="F710" s="57"/>
      <c r="G710" s="58"/>
      <c r="H710" s="10"/>
      <c r="I710" s="10"/>
      <c r="J710" s="10"/>
      <c r="K710" s="10"/>
    </row>
    <row r="711" ht="30.0" customHeight="1">
      <c r="A711" s="54"/>
      <c r="B711" s="52"/>
      <c r="C711" s="55"/>
      <c r="D711" s="56"/>
      <c r="E711" s="54"/>
      <c r="F711" s="57"/>
      <c r="G711" s="58"/>
      <c r="H711" s="10"/>
      <c r="I711" s="10"/>
      <c r="J711" s="10"/>
      <c r="K711" s="10"/>
    </row>
    <row r="712" ht="30.0" customHeight="1">
      <c r="A712" s="54"/>
      <c r="B712" s="52"/>
      <c r="C712" s="55"/>
      <c r="D712" s="56"/>
      <c r="E712" s="54"/>
      <c r="F712" s="57"/>
      <c r="G712" s="58"/>
      <c r="H712" s="10"/>
      <c r="I712" s="10"/>
      <c r="J712" s="10"/>
      <c r="K712" s="10"/>
    </row>
    <row r="713" ht="30.0" customHeight="1">
      <c r="A713" s="54"/>
      <c r="B713" s="52"/>
      <c r="C713" s="55"/>
      <c r="D713" s="56"/>
      <c r="E713" s="54"/>
      <c r="F713" s="57"/>
      <c r="G713" s="58"/>
      <c r="H713" s="10"/>
      <c r="I713" s="10"/>
      <c r="J713" s="10"/>
      <c r="K713" s="10"/>
    </row>
    <row r="714" ht="30.0" customHeight="1">
      <c r="A714" s="54"/>
      <c r="B714" s="52"/>
      <c r="C714" s="55"/>
      <c r="D714" s="56"/>
      <c r="E714" s="54"/>
      <c r="F714" s="57"/>
      <c r="G714" s="58"/>
      <c r="H714" s="10"/>
      <c r="I714" s="10"/>
      <c r="J714" s="10"/>
      <c r="K714" s="10"/>
    </row>
    <row r="715" ht="30.0" customHeight="1">
      <c r="A715" s="54"/>
      <c r="B715" s="52"/>
      <c r="C715" s="55"/>
      <c r="D715" s="56"/>
      <c r="E715" s="54"/>
      <c r="F715" s="57"/>
      <c r="G715" s="58"/>
      <c r="H715" s="10"/>
      <c r="I715" s="10"/>
      <c r="J715" s="10"/>
      <c r="K715" s="10"/>
    </row>
    <row r="716" ht="30.0" customHeight="1">
      <c r="A716" s="54"/>
      <c r="B716" s="52"/>
      <c r="C716" s="55"/>
      <c r="D716" s="56"/>
      <c r="E716" s="54"/>
      <c r="F716" s="57"/>
      <c r="G716" s="58"/>
      <c r="H716" s="10"/>
      <c r="I716" s="10"/>
      <c r="J716" s="10"/>
      <c r="K716" s="10"/>
    </row>
    <row r="717" ht="30.0" customHeight="1">
      <c r="A717" s="54"/>
      <c r="B717" s="52"/>
      <c r="C717" s="55"/>
      <c r="D717" s="56"/>
      <c r="E717" s="54"/>
      <c r="F717" s="57"/>
      <c r="G717" s="58"/>
      <c r="H717" s="10"/>
      <c r="I717" s="10"/>
      <c r="J717" s="10"/>
      <c r="K717" s="10"/>
    </row>
    <row r="718" ht="30.0" customHeight="1">
      <c r="A718" s="54"/>
      <c r="B718" s="52"/>
      <c r="C718" s="55"/>
      <c r="D718" s="56"/>
      <c r="E718" s="54"/>
      <c r="F718" s="57"/>
      <c r="G718" s="58"/>
      <c r="H718" s="10"/>
      <c r="I718" s="10"/>
      <c r="J718" s="10"/>
      <c r="K718" s="10"/>
    </row>
    <row r="719" ht="30.0" customHeight="1">
      <c r="A719" s="54"/>
      <c r="B719" s="52"/>
      <c r="C719" s="55"/>
      <c r="D719" s="56"/>
      <c r="E719" s="54"/>
      <c r="F719" s="57"/>
      <c r="G719" s="58"/>
      <c r="H719" s="10"/>
      <c r="I719" s="10"/>
      <c r="J719" s="10"/>
      <c r="K719" s="10"/>
    </row>
    <row r="720" ht="30.0" customHeight="1">
      <c r="A720" s="54"/>
      <c r="B720" s="52"/>
      <c r="C720" s="55"/>
      <c r="D720" s="56"/>
      <c r="E720" s="54"/>
      <c r="F720" s="57"/>
      <c r="G720" s="58"/>
      <c r="H720" s="10"/>
      <c r="I720" s="10"/>
      <c r="J720" s="10"/>
      <c r="K720" s="10"/>
    </row>
    <row r="721" ht="30.0" customHeight="1">
      <c r="A721" s="54"/>
      <c r="B721" s="52"/>
      <c r="C721" s="55"/>
      <c r="D721" s="56"/>
      <c r="E721" s="54"/>
      <c r="F721" s="57"/>
      <c r="G721" s="58"/>
      <c r="H721" s="10"/>
      <c r="I721" s="10"/>
      <c r="J721" s="10"/>
      <c r="K721" s="10"/>
    </row>
    <row r="722" ht="30.0" customHeight="1">
      <c r="A722" s="54"/>
      <c r="B722" s="52"/>
      <c r="C722" s="55"/>
      <c r="D722" s="56"/>
      <c r="E722" s="54"/>
      <c r="F722" s="57"/>
      <c r="G722" s="58"/>
      <c r="H722" s="10"/>
      <c r="I722" s="10"/>
      <c r="J722" s="10"/>
      <c r="K722" s="10"/>
    </row>
    <row r="723" ht="30.0" customHeight="1">
      <c r="A723" s="54"/>
      <c r="B723" s="52"/>
      <c r="C723" s="55"/>
      <c r="D723" s="56"/>
      <c r="E723" s="54"/>
      <c r="F723" s="57"/>
      <c r="G723" s="58"/>
      <c r="H723" s="10"/>
      <c r="I723" s="10"/>
      <c r="J723" s="10"/>
      <c r="K723" s="10"/>
    </row>
    <row r="724" ht="30.0" customHeight="1">
      <c r="A724" s="54"/>
      <c r="B724" s="52"/>
      <c r="C724" s="55"/>
      <c r="D724" s="56"/>
      <c r="E724" s="54"/>
      <c r="F724" s="57"/>
      <c r="G724" s="58"/>
      <c r="H724" s="10"/>
      <c r="I724" s="10"/>
      <c r="J724" s="10"/>
      <c r="K724" s="10"/>
    </row>
    <row r="725" ht="30.0" customHeight="1">
      <c r="A725" s="54"/>
      <c r="B725" s="52"/>
      <c r="C725" s="55"/>
      <c r="D725" s="56"/>
      <c r="E725" s="54"/>
      <c r="F725" s="57"/>
      <c r="G725" s="58"/>
      <c r="H725" s="10"/>
      <c r="I725" s="10"/>
      <c r="J725" s="10"/>
      <c r="K725" s="10"/>
    </row>
    <row r="726" ht="30.0" customHeight="1">
      <c r="A726" s="54"/>
      <c r="B726" s="52"/>
      <c r="C726" s="55"/>
      <c r="D726" s="56"/>
      <c r="E726" s="54"/>
      <c r="F726" s="57"/>
      <c r="G726" s="58"/>
      <c r="H726" s="10"/>
      <c r="I726" s="10"/>
      <c r="J726" s="10"/>
      <c r="K726" s="10"/>
    </row>
    <row r="727" ht="30.0" customHeight="1">
      <c r="A727" s="54"/>
      <c r="B727" s="52"/>
      <c r="C727" s="55"/>
      <c r="D727" s="56"/>
      <c r="E727" s="54"/>
      <c r="F727" s="57"/>
      <c r="G727" s="58"/>
      <c r="H727" s="10"/>
      <c r="I727" s="10"/>
      <c r="J727" s="10"/>
      <c r="K727" s="10"/>
    </row>
    <row r="728" ht="30.0" customHeight="1">
      <c r="A728" s="54"/>
      <c r="B728" s="52"/>
      <c r="C728" s="55"/>
      <c r="D728" s="56"/>
      <c r="E728" s="54"/>
      <c r="F728" s="57"/>
      <c r="G728" s="58"/>
      <c r="H728" s="10"/>
      <c r="I728" s="10"/>
      <c r="J728" s="10"/>
      <c r="K728" s="10"/>
    </row>
    <row r="729" ht="30.0" customHeight="1">
      <c r="A729" s="54"/>
      <c r="B729" s="52"/>
      <c r="C729" s="55"/>
      <c r="D729" s="56"/>
      <c r="E729" s="54"/>
      <c r="F729" s="57"/>
      <c r="G729" s="58"/>
      <c r="H729" s="10"/>
      <c r="I729" s="10"/>
      <c r="J729" s="10"/>
      <c r="K729" s="10"/>
    </row>
    <row r="730" ht="30.0" customHeight="1">
      <c r="A730" s="54"/>
      <c r="B730" s="52"/>
      <c r="C730" s="55"/>
      <c r="D730" s="56"/>
      <c r="E730" s="54"/>
      <c r="F730" s="57"/>
      <c r="G730" s="58"/>
      <c r="H730" s="10"/>
      <c r="I730" s="10"/>
      <c r="J730" s="10"/>
      <c r="K730" s="10"/>
    </row>
    <row r="731" ht="30.0" customHeight="1">
      <c r="A731" s="54"/>
      <c r="B731" s="52"/>
      <c r="C731" s="55"/>
      <c r="D731" s="56"/>
      <c r="E731" s="54"/>
      <c r="F731" s="57"/>
      <c r="G731" s="58"/>
      <c r="H731" s="10"/>
      <c r="I731" s="10"/>
      <c r="J731" s="10"/>
      <c r="K731" s="10"/>
    </row>
    <row r="732" ht="30.0" customHeight="1">
      <c r="A732" s="54"/>
      <c r="B732" s="52"/>
      <c r="C732" s="55"/>
      <c r="D732" s="56"/>
      <c r="E732" s="54"/>
      <c r="F732" s="57"/>
      <c r="G732" s="58"/>
      <c r="H732" s="10"/>
      <c r="I732" s="10"/>
      <c r="J732" s="10"/>
      <c r="K732" s="10"/>
    </row>
    <row r="733" ht="30.0" customHeight="1">
      <c r="A733" s="54"/>
      <c r="B733" s="52"/>
      <c r="C733" s="55"/>
      <c r="D733" s="56"/>
      <c r="E733" s="54"/>
      <c r="F733" s="57"/>
      <c r="G733" s="58"/>
      <c r="H733" s="10"/>
      <c r="I733" s="10"/>
      <c r="J733" s="10"/>
      <c r="K733" s="10"/>
    </row>
    <row r="734" ht="30.0" customHeight="1">
      <c r="A734" s="54"/>
      <c r="B734" s="52"/>
      <c r="C734" s="55"/>
      <c r="D734" s="56"/>
      <c r="E734" s="54"/>
      <c r="F734" s="57"/>
      <c r="G734" s="58"/>
      <c r="H734" s="10"/>
      <c r="I734" s="10"/>
      <c r="J734" s="10"/>
      <c r="K734" s="10"/>
    </row>
    <row r="735" ht="30.0" customHeight="1">
      <c r="A735" s="54"/>
      <c r="B735" s="52"/>
      <c r="C735" s="55"/>
      <c r="D735" s="56"/>
      <c r="E735" s="54"/>
      <c r="F735" s="57"/>
      <c r="G735" s="58"/>
      <c r="H735" s="10"/>
      <c r="I735" s="10"/>
      <c r="J735" s="10"/>
      <c r="K735" s="10"/>
    </row>
    <row r="736" ht="30.0" customHeight="1">
      <c r="A736" s="54"/>
      <c r="B736" s="52"/>
      <c r="C736" s="55"/>
      <c r="D736" s="56"/>
      <c r="E736" s="54"/>
      <c r="F736" s="57"/>
      <c r="G736" s="58"/>
      <c r="H736" s="10"/>
      <c r="I736" s="10"/>
      <c r="J736" s="10"/>
      <c r="K736" s="10"/>
    </row>
    <row r="737" ht="30.0" customHeight="1">
      <c r="A737" s="54"/>
      <c r="B737" s="52"/>
      <c r="C737" s="55"/>
      <c r="D737" s="56"/>
      <c r="E737" s="54"/>
      <c r="F737" s="57"/>
      <c r="G737" s="58"/>
      <c r="H737" s="10"/>
      <c r="I737" s="10"/>
      <c r="J737" s="10"/>
      <c r="K737" s="10"/>
    </row>
    <row r="738" ht="30.0" customHeight="1">
      <c r="A738" s="54"/>
      <c r="B738" s="52"/>
      <c r="C738" s="55"/>
      <c r="D738" s="56"/>
      <c r="E738" s="54"/>
      <c r="F738" s="57"/>
      <c r="G738" s="58"/>
      <c r="H738" s="10"/>
      <c r="I738" s="10"/>
      <c r="J738" s="10"/>
      <c r="K738" s="10"/>
    </row>
    <row r="739" ht="30.0" customHeight="1">
      <c r="A739" s="54"/>
      <c r="B739" s="52"/>
      <c r="C739" s="55"/>
      <c r="D739" s="56"/>
      <c r="E739" s="54"/>
      <c r="F739" s="57"/>
      <c r="G739" s="58"/>
      <c r="H739" s="10"/>
      <c r="I739" s="10"/>
      <c r="J739" s="10"/>
      <c r="K739" s="10"/>
    </row>
    <row r="740" ht="30.0" customHeight="1">
      <c r="A740" s="54"/>
      <c r="B740" s="52"/>
      <c r="C740" s="55"/>
      <c r="D740" s="56"/>
      <c r="E740" s="54"/>
      <c r="F740" s="57"/>
      <c r="G740" s="58"/>
      <c r="H740" s="10"/>
      <c r="I740" s="10"/>
      <c r="J740" s="10"/>
      <c r="K740" s="10"/>
    </row>
    <row r="741" ht="30.0" customHeight="1">
      <c r="A741" s="54"/>
      <c r="B741" s="52"/>
      <c r="C741" s="55"/>
      <c r="D741" s="56"/>
      <c r="E741" s="54"/>
      <c r="F741" s="57"/>
      <c r="G741" s="58"/>
      <c r="H741" s="10"/>
      <c r="I741" s="10"/>
      <c r="J741" s="10"/>
      <c r="K741" s="10"/>
    </row>
    <row r="742" ht="30.0" customHeight="1">
      <c r="A742" s="54"/>
      <c r="B742" s="52"/>
      <c r="C742" s="55"/>
      <c r="D742" s="56"/>
      <c r="E742" s="54"/>
      <c r="F742" s="57"/>
      <c r="G742" s="58"/>
      <c r="H742" s="10"/>
      <c r="I742" s="10"/>
      <c r="J742" s="10"/>
      <c r="K742" s="10"/>
    </row>
    <row r="743" ht="30.0" customHeight="1">
      <c r="A743" s="54"/>
      <c r="B743" s="52"/>
      <c r="C743" s="55"/>
      <c r="D743" s="56"/>
      <c r="E743" s="54"/>
      <c r="F743" s="57"/>
      <c r="G743" s="58"/>
      <c r="H743" s="10"/>
      <c r="I743" s="10"/>
      <c r="J743" s="10"/>
      <c r="K743" s="10"/>
    </row>
    <row r="744" ht="30.0" customHeight="1">
      <c r="A744" s="54"/>
      <c r="B744" s="52"/>
      <c r="C744" s="55"/>
      <c r="D744" s="56"/>
      <c r="E744" s="54"/>
      <c r="F744" s="57"/>
      <c r="G744" s="58"/>
      <c r="H744" s="10"/>
      <c r="I744" s="10"/>
      <c r="J744" s="10"/>
      <c r="K744" s="10"/>
    </row>
    <row r="745" ht="30.0" customHeight="1">
      <c r="A745" s="54"/>
      <c r="B745" s="52"/>
      <c r="C745" s="55"/>
      <c r="D745" s="56"/>
      <c r="E745" s="54"/>
      <c r="F745" s="57"/>
      <c r="G745" s="58"/>
      <c r="H745" s="10"/>
      <c r="I745" s="10"/>
      <c r="J745" s="10"/>
      <c r="K745" s="10"/>
    </row>
    <row r="746" ht="30.0" customHeight="1">
      <c r="A746" s="54"/>
      <c r="B746" s="52"/>
      <c r="C746" s="55"/>
      <c r="D746" s="56"/>
      <c r="E746" s="54"/>
      <c r="F746" s="57"/>
      <c r="G746" s="58"/>
      <c r="H746" s="10"/>
      <c r="I746" s="10"/>
      <c r="J746" s="10"/>
      <c r="K746" s="10"/>
    </row>
    <row r="747" ht="30.0" customHeight="1">
      <c r="A747" s="54"/>
      <c r="B747" s="52"/>
      <c r="C747" s="55"/>
      <c r="D747" s="56"/>
      <c r="E747" s="54"/>
      <c r="F747" s="57"/>
      <c r="G747" s="58"/>
      <c r="H747" s="10"/>
      <c r="I747" s="10"/>
      <c r="J747" s="10"/>
      <c r="K747" s="10"/>
    </row>
    <row r="748" ht="30.0" customHeight="1">
      <c r="A748" s="54"/>
      <c r="B748" s="52"/>
      <c r="C748" s="55"/>
      <c r="D748" s="56"/>
      <c r="E748" s="54"/>
      <c r="F748" s="57"/>
      <c r="G748" s="58"/>
      <c r="H748" s="10"/>
      <c r="I748" s="10"/>
      <c r="J748" s="10"/>
      <c r="K748" s="10"/>
    </row>
    <row r="749" ht="30.0" customHeight="1">
      <c r="A749" s="54"/>
      <c r="B749" s="52"/>
      <c r="C749" s="55"/>
      <c r="D749" s="56"/>
      <c r="E749" s="54"/>
      <c r="F749" s="57"/>
      <c r="G749" s="58"/>
      <c r="H749" s="10"/>
      <c r="I749" s="10"/>
      <c r="J749" s="10"/>
      <c r="K749" s="10"/>
    </row>
    <row r="750" ht="30.0" customHeight="1">
      <c r="A750" s="54"/>
      <c r="B750" s="52"/>
      <c r="C750" s="55"/>
      <c r="D750" s="56"/>
      <c r="E750" s="54"/>
      <c r="F750" s="57"/>
      <c r="G750" s="58"/>
      <c r="H750" s="10"/>
      <c r="I750" s="10"/>
      <c r="J750" s="10"/>
      <c r="K750" s="10"/>
    </row>
    <row r="751" ht="30.0" customHeight="1">
      <c r="A751" s="54"/>
      <c r="B751" s="52"/>
      <c r="C751" s="55"/>
      <c r="D751" s="56"/>
      <c r="E751" s="54"/>
      <c r="F751" s="57"/>
      <c r="G751" s="58"/>
      <c r="H751" s="10"/>
      <c r="I751" s="10"/>
      <c r="J751" s="10"/>
      <c r="K751" s="10"/>
    </row>
    <row r="752" ht="30.0" customHeight="1">
      <c r="A752" s="54"/>
      <c r="B752" s="52"/>
      <c r="C752" s="55"/>
      <c r="D752" s="56"/>
      <c r="E752" s="54"/>
      <c r="F752" s="57"/>
      <c r="G752" s="58"/>
      <c r="H752" s="10"/>
      <c r="I752" s="10"/>
      <c r="J752" s="10"/>
      <c r="K752" s="10"/>
    </row>
    <row r="753" ht="30.0" customHeight="1">
      <c r="A753" s="54"/>
      <c r="B753" s="52"/>
      <c r="C753" s="55"/>
      <c r="D753" s="56"/>
      <c r="E753" s="54"/>
      <c r="F753" s="57"/>
      <c r="G753" s="58"/>
      <c r="H753" s="10"/>
      <c r="I753" s="10"/>
      <c r="J753" s="10"/>
      <c r="K753" s="10"/>
    </row>
    <row r="754" ht="30.0" customHeight="1">
      <c r="A754" s="54"/>
      <c r="B754" s="52"/>
      <c r="C754" s="55"/>
      <c r="D754" s="56"/>
      <c r="E754" s="54"/>
      <c r="F754" s="57"/>
      <c r="G754" s="58"/>
      <c r="H754" s="10"/>
      <c r="I754" s="10"/>
      <c r="J754" s="10"/>
      <c r="K754" s="10"/>
    </row>
    <row r="755" ht="30.0" customHeight="1">
      <c r="A755" s="54"/>
      <c r="B755" s="52"/>
      <c r="C755" s="55"/>
      <c r="D755" s="56"/>
      <c r="E755" s="54"/>
      <c r="F755" s="57"/>
      <c r="G755" s="58"/>
      <c r="H755" s="10"/>
      <c r="I755" s="10"/>
      <c r="J755" s="10"/>
      <c r="K755" s="10"/>
    </row>
    <row r="756" ht="30.0" customHeight="1">
      <c r="A756" s="54"/>
      <c r="B756" s="52"/>
      <c r="C756" s="55"/>
      <c r="D756" s="56"/>
      <c r="E756" s="54"/>
      <c r="F756" s="57"/>
      <c r="G756" s="58"/>
      <c r="H756" s="10"/>
      <c r="I756" s="10"/>
      <c r="J756" s="10"/>
      <c r="K756" s="10"/>
    </row>
    <row r="757" ht="30.0" customHeight="1">
      <c r="A757" s="54"/>
      <c r="B757" s="52"/>
      <c r="C757" s="55"/>
      <c r="D757" s="56"/>
      <c r="E757" s="54"/>
      <c r="F757" s="57"/>
      <c r="G757" s="58"/>
      <c r="H757" s="10"/>
      <c r="I757" s="10"/>
      <c r="J757" s="10"/>
      <c r="K757" s="10"/>
    </row>
    <row r="758" ht="30.0" customHeight="1">
      <c r="A758" s="54"/>
      <c r="B758" s="52"/>
      <c r="C758" s="55"/>
      <c r="D758" s="56"/>
      <c r="E758" s="54"/>
      <c r="F758" s="57"/>
      <c r="G758" s="58"/>
      <c r="H758" s="10"/>
      <c r="I758" s="10"/>
      <c r="J758" s="10"/>
      <c r="K758" s="10"/>
    </row>
    <row r="759" ht="30.0" customHeight="1">
      <c r="A759" s="54"/>
      <c r="B759" s="52"/>
      <c r="C759" s="55"/>
      <c r="D759" s="56"/>
      <c r="E759" s="54"/>
      <c r="F759" s="57"/>
      <c r="G759" s="58"/>
      <c r="H759" s="10"/>
      <c r="I759" s="10"/>
      <c r="J759" s="10"/>
      <c r="K759" s="10"/>
    </row>
    <row r="760" ht="30.0" customHeight="1">
      <c r="A760" s="54"/>
      <c r="B760" s="52"/>
      <c r="C760" s="55"/>
      <c r="D760" s="56"/>
      <c r="E760" s="54"/>
      <c r="F760" s="57"/>
      <c r="G760" s="58"/>
      <c r="H760" s="10"/>
      <c r="I760" s="10"/>
      <c r="J760" s="10"/>
      <c r="K760" s="10"/>
    </row>
    <row r="761" ht="30.0" customHeight="1">
      <c r="A761" s="54"/>
      <c r="B761" s="52"/>
      <c r="C761" s="55"/>
      <c r="D761" s="56"/>
      <c r="E761" s="54"/>
      <c r="F761" s="57"/>
      <c r="G761" s="58"/>
      <c r="H761" s="10"/>
      <c r="I761" s="10"/>
      <c r="J761" s="10"/>
      <c r="K761" s="10"/>
    </row>
    <row r="762" ht="30.0" customHeight="1">
      <c r="A762" s="54"/>
      <c r="B762" s="52"/>
      <c r="C762" s="55"/>
      <c r="D762" s="56"/>
      <c r="E762" s="54"/>
      <c r="F762" s="57"/>
      <c r="G762" s="58"/>
      <c r="H762" s="10"/>
      <c r="I762" s="10"/>
      <c r="J762" s="10"/>
      <c r="K762" s="10"/>
    </row>
    <row r="763" ht="30.0" customHeight="1">
      <c r="A763" s="54"/>
      <c r="B763" s="52"/>
      <c r="C763" s="55"/>
      <c r="D763" s="56"/>
      <c r="E763" s="54"/>
      <c r="F763" s="57"/>
      <c r="G763" s="58"/>
      <c r="H763" s="10"/>
      <c r="I763" s="10"/>
      <c r="J763" s="10"/>
      <c r="K763" s="10"/>
    </row>
    <row r="764" ht="30.0" customHeight="1">
      <c r="A764" s="54"/>
      <c r="B764" s="52"/>
      <c r="C764" s="55"/>
      <c r="D764" s="56"/>
      <c r="E764" s="54"/>
      <c r="F764" s="57"/>
      <c r="G764" s="58"/>
      <c r="H764" s="10"/>
      <c r="I764" s="10"/>
      <c r="J764" s="10"/>
      <c r="K764" s="10"/>
    </row>
    <row r="765" ht="30.0" customHeight="1">
      <c r="A765" s="54"/>
      <c r="B765" s="52"/>
      <c r="C765" s="55"/>
      <c r="D765" s="56"/>
      <c r="E765" s="54"/>
      <c r="F765" s="57"/>
      <c r="G765" s="58"/>
      <c r="H765" s="10"/>
      <c r="I765" s="10"/>
      <c r="J765" s="10"/>
      <c r="K765" s="10"/>
    </row>
    <row r="766" ht="30.0" customHeight="1">
      <c r="A766" s="54"/>
      <c r="B766" s="52"/>
      <c r="C766" s="55"/>
      <c r="D766" s="56"/>
      <c r="E766" s="54"/>
      <c r="F766" s="57"/>
      <c r="G766" s="58"/>
      <c r="H766" s="10"/>
      <c r="I766" s="10"/>
      <c r="J766" s="10"/>
      <c r="K766" s="10"/>
    </row>
    <row r="767" ht="30.0" customHeight="1">
      <c r="A767" s="54"/>
      <c r="B767" s="52"/>
      <c r="C767" s="55"/>
      <c r="D767" s="56"/>
      <c r="E767" s="54"/>
      <c r="F767" s="57"/>
      <c r="G767" s="58"/>
      <c r="H767" s="10"/>
      <c r="I767" s="10"/>
      <c r="J767" s="10"/>
      <c r="K767" s="10"/>
    </row>
    <row r="768" ht="30.0" customHeight="1">
      <c r="A768" s="54"/>
      <c r="B768" s="52"/>
      <c r="C768" s="55"/>
      <c r="D768" s="56"/>
      <c r="E768" s="54"/>
      <c r="F768" s="57"/>
      <c r="G768" s="58"/>
      <c r="H768" s="10"/>
      <c r="I768" s="10"/>
      <c r="J768" s="10"/>
      <c r="K768" s="10"/>
    </row>
    <row r="769" ht="30.0" customHeight="1">
      <c r="A769" s="54"/>
      <c r="B769" s="52"/>
      <c r="C769" s="55"/>
      <c r="D769" s="56"/>
      <c r="E769" s="54"/>
      <c r="F769" s="57"/>
      <c r="G769" s="58"/>
      <c r="H769" s="10"/>
      <c r="I769" s="10"/>
      <c r="J769" s="10"/>
      <c r="K769" s="10"/>
    </row>
    <row r="770" ht="30.0" customHeight="1">
      <c r="A770" s="54"/>
      <c r="B770" s="52"/>
      <c r="C770" s="55"/>
      <c r="D770" s="56"/>
      <c r="E770" s="54"/>
      <c r="F770" s="57"/>
      <c r="G770" s="58"/>
      <c r="H770" s="10"/>
      <c r="I770" s="10"/>
      <c r="J770" s="10"/>
      <c r="K770" s="10"/>
    </row>
    <row r="771" ht="30.0" customHeight="1">
      <c r="A771" s="54"/>
      <c r="B771" s="52"/>
      <c r="C771" s="55"/>
      <c r="D771" s="56"/>
      <c r="E771" s="54"/>
      <c r="F771" s="57"/>
      <c r="G771" s="58"/>
      <c r="H771" s="10"/>
      <c r="I771" s="10"/>
      <c r="J771" s="10"/>
      <c r="K771" s="10"/>
    </row>
    <row r="772" ht="30.0" customHeight="1">
      <c r="A772" s="54"/>
      <c r="B772" s="52"/>
      <c r="C772" s="55"/>
      <c r="D772" s="56"/>
      <c r="E772" s="54"/>
      <c r="F772" s="57"/>
      <c r="G772" s="58"/>
      <c r="H772" s="10"/>
      <c r="I772" s="10"/>
      <c r="J772" s="10"/>
      <c r="K772" s="10"/>
    </row>
    <row r="773" ht="30.0" customHeight="1">
      <c r="A773" s="54"/>
      <c r="B773" s="52"/>
      <c r="C773" s="55"/>
      <c r="D773" s="56"/>
      <c r="E773" s="54"/>
      <c r="F773" s="57"/>
      <c r="G773" s="58"/>
      <c r="H773" s="10"/>
      <c r="I773" s="10"/>
      <c r="J773" s="10"/>
      <c r="K773" s="10"/>
    </row>
    <row r="774" ht="30.0" customHeight="1">
      <c r="A774" s="54"/>
      <c r="B774" s="52"/>
      <c r="C774" s="55"/>
      <c r="D774" s="56"/>
      <c r="E774" s="54"/>
      <c r="F774" s="57"/>
      <c r="G774" s="58"/>
      <c r="H774" s="10"/>
      <c r="I774" s="10"/>
      <c r="J774" s="10"/>
      <c r="K774" s="10"/>
    </row>
    <row r="775" ht="30.0" customHeight="1">
      <c r="A775" s="54"/>
      <c r="B775" s="52"/>
      <c r="C775" s="55"/>
      <c r="D775" s="56"/>
      <c r="E775" s="54"/>
      <c r="F775" s="57"/>
      <c r="G775" s="58"/>
      <c r="H775" s="10"/>
      <c r="I775" s="10"/>
      <c r="J775" s="10"/>
      <c r="K775" s="10"/>
    </row>
    <row r="776" ht="30.0" customHeight="1">
      <c r="A776" s="54"/>
      <c r="B776" s="52"/>
      <c r="C776" s="55"/>
      <c r="D776" s="56"/>
      <c r="E776" s="54"/>
      <c r="F776" s="57"/>
      <c r="G776" s="58"/>
      <c r="H776" s="10"/>
      <c r="I776" s="10"/>
      <c r="J776" s="10"/>
      <c r="K776" s="10"/>
    </row>
    <row r="777" ht="30.0" customHeight="1">
      <c r="A777" s="54"/>
      <c r="B777" s="52"/>
      <c r="C777" s="55"/>
      <c r="D777" s="56"/>
      <c r="E777" s="54"/>
      <c r="F777" s="57"/>
      <c r="G777" s="58"/>
      <c r="H777" s="10"/>
      <c r="I777" s="10"/>
      <c r="J777" s="10"/>
      <c r="K777" s="10"/>
    </row>
    <row r="778" ht="30.0" customHeight="1">
      <c r="A778" s="54"/>
      <c r="B778" s="52"/>
      <c r="C778" s="55"/>
      <c r="D778" s="56"/>
      <c r="E778" s="54"/>
      <c r="F778" s="57"/>
      <c r="G778" s="58"/>
      <c r="H778" s="10"/>
      <c r="I778" s="10"/>
      <c r="J778" s="10"/>
      <c r="K778" s="10"/>
    </row>
    <row r="779" ht="30.0" customHeight="1">
      <c r="A779" s="54"/>
      <c r="B779" s="52"/>
      <c r="C779" s="55"/>
      <c r="D779" s="56"/>
      <c r="E779" s="54"/>
      <c r="F779" s="57"/>
      <c r="G779" s="58"/>
      <c r="H779" s="10"/>
      <c r="I779" s="10"/>
      <c r="J779" s="10"/>
      <c r="K779" s="10"/>
    </row>
    <row r="780" ht="30.0" customHeight="1">
      <c r="A780" s="54"/>
      <c r="B780" s="52"/>
      <c r="C780" s="55"/>
      <c r="D780" s="56"/>
      <c r="E780" s="54"/>
      <c r="F780" s="57"/>
      <c r="G780" s="58"/>
      <c r="H780" s="10"/>
      <c r="I780" s="10"/>
      <c r="J780" s="10"/>
      <c r="K780" s="10"/>
    </row>
    <row r="781" ht="30.0" customHeight="1">
      <c r="A781" s="54"/>
      <c r="B781" s="52"/>
      <c r="C781" s="55"/>
      <c r="D781" s="56"/>
      <c r="E781" s="54"/>
      <c r="F781" s="57"/>
      <c r="G781" s="58"/>
      <c r="H781" s="10"/>
      <c r="I781" s="10"/>
      <c r="J781" s="10"/>
      <c r="K781" s="10"/>
    </row>
    <row r="782" ht="30.0" customHeight="1">
      <c r="A782" s="54"/>
      <c r="B782" s="52"/>
      <c r="C782" s="55"/>
      <c r="D782" s="56"/>
      <c r="E782" s="54"/>
      <c r="F782" s="57"/>
      <c r="G782" s="58"/>
      <c r="H782" s="10"/>
      <c r="I782" s="10"/>
      <c r="J782" s="10"/>
      <c r="K782" s="10"/>
    </row>
    <row r="783" ht="30.0" customHeight="1">
      <c r="A783" s="54"/>
      <c r="B783" s="52"/>
      <c r="C783" s="55"/>
      <c r="D783" s="56"/>
      <c r="E783" s="54"/>
      <c r="F783" s="57"/>
      <c r="G783" s="58"/>
      <c r="H783" s="10"/>
      <c r="I783" s="10"/>
      <c r="J783" s="10"/>
      <c r="K783" s="10"/>
    </row>
    <row r="784" ht="30.0" customHeight="1">
      <c r="A784" s="54"/>
      <c r="B784" s="52"/>
      <c r="C784" s="55"/>
      <c r="D784" s="56"/>
      <c r="E784" s="54"/>
      <c r="F784" s="57"/>
      <c r="G784" s="58"/>
      <c r="H784" s="10"/>
      <c r="I784" s="10"/>
      <c r="J784" s="10"/>
      <c r="K784" s="10"/>
    </row>
    <row r="785" ht="30.0" customHeight="1">
      <c r="A785" s="54"/>
      <c r="B785" s="52"/>
      <c r="C785" s="55"/>
      <c r="D785" s="56"/>
      <c r="E785" s="54"/>
      <c r="F785" s="57"/>
      <c r="G785" s="58"/>
      <c r="H785" s="10"/>
      <c r="I785" s="10"/>
      <c r="J785" s="10"/>
      <c r="K785" s="10"/>
    </row>
    <row r="786" ht="30.0" customHeight="1">
      <c r="A786" s="54"/>
      <c r="B786" s="52"/>
      <c r="C786" s="55"/>
      <c r="D786" s="56"/>
      <c r="E786" s="54"/>
      <c r="F786" s="57"/>
      <c r="G786" s="58"/>
      <c r="H786" s="10"/>
      <c r="I786" s="10"/>
      <c r="J786" s="10"/>
      <c r="K786" s="10"/>
    </row>
    <row r="787" ht="30.0" customHeight="1">
      <c r="A787" s="54"/>
      <c r="B787" s="52"/>
      <c r="C787" s="55"/>
      <c r="D787" s="56"/>
      <c r="E787" s="54"/>
      <c r="F787" s="57"/>
      <c r="G787" s="58"/>
      <c r="H787" s="10"/>
      <c r="I787" s="10"/>
      <c r="J787" s="10"/>
      <c r="K787" s="10"/>
    </row>
    <row r="788" ht="30.0" customHeight="1">
      <c r="A788" s="54"/>
      <c r="B788" s="52"/>
      <c r="C788" s="55"/>
      <c r="D788" s="56"/>
      <c r="E788" s="54"/>
      <c r="F788" s="57"/>
      <c r="G788" s="58"/>
      <c r="H788" s="10"/>
      <c r="I788" s="10"/>
      <c r="J788" s="10"/>
      <c r="K788" s="10"/>
    </row>
    <row r="789" ht="30.0" customHeight="1">
      <c r="A789" s="54"/>
      <c r="B789" s="52"/>
      <c r="C789" s="55"/>
      <c r="D789" s="56"/>
      <c r="E789" s="54"/>
      <c r="F789" s="57"/>
      <c r="G789" s="58"/>
      <c r="H789" s="10"/>
      <c r="I789" s="10"/>
      <c r="J789" s="10"/>
      <c r="K789" s="10"/>
    </row>
    <row r="790" ht="30.0" customHeight="1">
      <c r="A790" s="54"/>
      <c r="B790" s="52"/>
      <c r="C790" s="55"/>
      <c r="D790" s="56"/>
      <c r="E790" s="54"/>
      <c r="F790" s="57"/>
      <c r="G790" s="58"/>
      <c r="H790" s="10"/>
      <c r="I790" s="10"/>
      <c r="J790" s="10"/>
      <c r="K790" s="10"/>
    </row>
    <row r="791" ht="30.0" customHeight="1">
      <c r="A791" s="54"/>
      <c r="B791" s="52"/>
      <c r="C791" s="55"/>
      <c r="D791" s="56"/>
      <c r="E791" s="54"/>
      <c r="F791" s="57"/>
      <c r="G791" s="58"/>
      <c r="H791" s="10"/>
      <c r="I791" s="10"/>
      <c r="J791" s="10"/>
      <c r="K791" s="10"/>
    </row>
    <row r="792" ht="30.0" customHeight="1">
      <c r="A792" s="54"/>
      <c r="B792" s="52"/>
      <c r="C792" s="55"/>
      <c r="D792" s="56"/>
      <c r="E792" s="54"/>
      <c r="F792" s="57"/>
      <c r="G792" s="58"/>
      <c r="H792" s="10"/>
      <c r="I792" s="10"/>
      <c r="J792" s="10"/>
      <c r="K792" s="10"/>
    </row>
    <row r="793" ht="30.0" customHeight="1">
      <c r="A793" s="54"/>
      <c r="B793" s="52"/>
      <c r="C793" s="55"/>
      <c r="D793" s="56"/>
      <c r="E793" s="54"/>
      <c r="F793" s="57"/>
      <c r="G793" s="58"/>
      <c r="H793" s="10"/>
      <c r="I793" s="10"/>
      <c r="J793" s="10"/>
      <c r="K793" s="10"/>
    </row>
    <row r="794" ht="30.0" customHeight="1">
      <c r="A794" s="54"/>
      <c r="B794" s="52"/>
      <c r="C794" s="55"/>
      <c r="D794" s="56"/>
      <c r="E794" s="54"/>
      <c r="F794" s="57"/>
      <c r="G794" s="58"/>
      <c r="H794" s="10"/>
      <c r="I794" s="10"/>
      <c r="J794" s="10"/>
      <c r="K794" s="10"/>
    </row>
    <row r="795" ht="30.0" customHeight="1">
      <c r="A795" s="54"/>
      <c r="B795" s="52"/>
      <c r="C795" s="55"/>
      <c r="D795" s="56"/>
      <c r="E795" s="54"/>
      <c r="F795" s="57"/>
      <c r="G795" s="58"/>
      <c r="H795" s="10"/>
      <c r="I795" s="10"/>
      <c r="J795" s="10"/>
      <c r="K795" s="10"/>
    </row>
    <row r="796" ht="30.0" customHeight="1">
      <c r="A796" s="54"/>
      <c r="B796" s="52"/>
      <c r="C796" s="55"/>
      <c r="D796" s="56"/>
      <c r="E796" s="54"/>
      <c r="F796" s="57"/>
      <c r="G796" s="58"/>
      <c r="H796" s="10"/>
      <c r="I796" s="10"/>
      <c r="J796" s="10"/>
      <c r="K796" s="10"/>
    </row>
    <row r="797" ht="30.0" customHeight="1">
      <c r="A797" s="54"/>
      <c r="B797" s="52"/>
      <c r="C797" s="55"/>
      <c r="D797" s="56"/>
      <c r="E797" s="54"/>
      <c r="F797" s="57"/>
      <c r="G797" s="58"/>
      <c r="H797" s="10"/>
      <c r="I797" s="10"/>
      <c r="J797" s="10"/>
      <c r="K797" s="10"/>
    </row>
    <row r="798" ht="30.0" customHeight="1">
      <c r="A798" s="54"/>
      <c r="B798" s="52"/>
      <c r="C798" s="55"/>
      <c r="D798" s="56"/>
      <c r="E798" s="54"/>
      <c r="F798" s="57"/>
      <c r="G798" s="58"/>
      <c r="H798" s="10"/>
      <c r="I798" s="10"/>
      <c r="J798" s="10"/>
      <c r="K798" s="10"/>
    </row>
    <row r="799" ht="30.0" customHeight="1">
      <c r="A799" s="54"/>
      <c r="B799" s="52"/>
      <c r="C799" s="55"/>
      <c r="D799" s="56"/>
      <c r="E799" s="54"/>
      <c r="F799" s="57"/>
      <c r="G799" s="58"/>
      <c r="H799" s="10"/>
      <c r="I799" s="10"/>
      <c r="J799" s="10"/>
      <c r="K799" s="10"/>
    </row>
    <row r="800" ht="30.0" customHeight="1">
      <c r="A800" s="54"/>
      <c r="B800" s="52"/>
      <c r="C800" s="55"/>
      <c r="D800" s="56"/>
      <c r="E800" s="54"/>
      <c r="F800" s="57"/>
      <c r="G800" s="58"/>
      <c r="H800" s="10"/>
      <c r="I800" s="10"/>
      <c r="J800" s="10"/>
      <c r="K800" s="10"/>
    </row>
    <row r="801" ht="30.0" customHeight="1">
      <c r="A801" s="54"/>
      <c r="B801" s="52"/>
      <c r="C801" s="55"/>
      <c r="D801" s="56"/>
      <c r="E801" s="54"/>
      <c r="F801" s="57"/>
      <c r="G801" s="58"/>
      <c r="H801" s="10"/>
      <c r="I801" s="10"/>
      <c r="J801" s="10"/>
      <c r="K801" s="10"/>
    </row>
    <row r="802" ht="30.0" customHeight="1">
      <c r="A802" s="54"/>
      <c r="B802" s="52"/>
      <c r="C802" s="55"/>
      <c r="D802" s="56"/>
      <c r="E802" s="54"/>
      <c r="F802" s="57"/>
      <c r="G802" s="58"/>
      <c r="H802" s="10"/>
      <c r="I802" s="10"/>
      <c r="J802" s="10"/>
      <c r="K802" s="10"/>
    </row>
    <row r="803" ht="30.0" customHeight="1">
      <c r="A803" s="54"/>
      <c r="B803" s="52"/>
      <c r="C803" s="55"/>
      <c r="D803" s="56"/>
      <c r="E803" s="54"/>
      <c r="F803" s="57"/>
      <c r="G803" s="58"/>
      <c r="H803" s="10"/>
      <c r="I803" s="10"/>
      <c r="J803" s="10"/>
      <c r="K803" s="10"/>
    </row>
    <row r="804" ht="30.0" customHeight="1">
      <c r="A804" s="54"/>
      <c r="B804" s="52"/>
      <c r="C804" s="55"/>
      <c r="D804" s="56"/>
      <c r="E804" s="54"/>
      <c r="F804" s="57"/>
      <c r="G804" s="58"/>
      <c r="H804" s="10"/>
      <c r="I804" s="10"/>
      <c r="J804" s="10"/>
      <c r="K804" s="10"/>
    </row>
    <row r="805" ht="30.0" customHeight="1">
      <c r="A805" s="54"/>
      <c r="B805" s="52"/>
      <c r="C805" s="55"/>
      <c r="D805" s="56"/>
      <c r="E805" s="54"/>
      <c r="F805" s="57"/>
      <c r="G805" s="58"/>
      <c r="H805" s="10"/>
      <c r="I805" s="10"/>
      <c r="J805" s="10"/>
      <c r="K805" s="10"/>
    </row>
    <row r="806" ht="30.0" customHeight="1">
      <c r="A806" s="54"/>
      <c r="B806" s="52"/>
      <c r="C806" s="55"/>
      <c r="D806" s="56"/>
      <c r="E806" s="54"/>
      <c r="F806" s="57"/>
      <c r="G806" s="58"/>
      <c r="H806" s="10"/>
      <c r="I806" s="10"/>
      <c r="J806" s="10"/>
      <c r="K806" s="10"/>
    </row>
    <row r="807" ht="30.0" customHeight="1">
      <c r="A807" s="54"/>
      <c r="B807" s="52"/>
      <c r="C807" s="55"/>
      <c r="D807" s="56"/>
      <c r="E807" s="54"/>
      <c r="F807" s="57"/>
      <c r="G807" s="58"/>
      <c r="H807" s="10"/>
      <c r="I807" s="10"/>
      <c r="J807" s="10"/>
      <c r="K807" s="10"/>
    </row>
    <row r="808" ht="30.0" customHeight="1">
      <c r="A808" s="54"/>
      <c r="B808" s="52"/>
      <c r="C808" s="55"/>
      <c r="D808" s="56"/>
      <c r="E808" s="54"/>
      <c r="F808" s="57"/>
      <c r="G808" s="58"/>
      <c r="H808" s="10"/>
      <c r="I808" s="10"/>
      <c r="J808" s="10"/>
      <c r="K808" s="10"/>
    </row>
    <row r="809" ht="30.0" customHeight="1">
      <c r="A809" s="54"/>
      <c r="B809" s="52"/>
      <c r="C809" s="55"/>
      <c r="D809" s="56"/>
      <c r="E809" s="54"/>
      <c r="F809" s="57"/>
      <c r="G809" s="58"/>
      <c r="H809" s="10"/>
      <c r="I809" s="10"/>
      <c r="J809" s="10"/>
      <c r="K809" s="10"/>
    </row>
    <row r="810" ht="30.0" customHeight="1">
      <c r="A810" s="54"/>
      <c r="B810" s="52"/>
      <c r="C810" s="55"/>
      <c r="D810" s="56"/>
      <c r="E810" s="54"/>
      <c r="F810" s="57"/>
      <c r="G810" s="58"/>
      <c r="H810" s="10"/>
      <c r="I810" s="10"/>
      <c r="J810" s="10"/>
      <c r="K810" s="10"/>
    </row>
    <row r="811" ht="30.0" customHeight="1">
      <c r="A811" s="54"/>
      <c r="B811" s="52"/>
      <c r="C811" s="55"/>
      <c r="D811" s="56"/>
      <c r="E811" s="54"/>
      <c r="F811" s="57"/>
      <c r="G811" s="58"/>
      <c r="H811" s="10"/>
      <c r="I811" s="10"/>
      <c r="J811" s="10"/>
      <c r="K811" s="10"/>
    </row>
    <row r="812" ht="30.0" customHeight="1">
      <c r="A812" s="54"/>
      <c r="B812" s="52"/>
      <c r="C812" s="55"/>
      <c r="D812" s="56"/>
      <c r="E812" s="54"/>
      <c r="F812" s="57"/>
      <c r="G812" s="58"/>
      <c r="H812" s="10"/>
      <c r="I812" s="10"/>
      <c r="J812" s="10"/>
      <c r="K812" s="10"/>
    </row>
    <row r="813" ht="30.0" customHeight="1">
      <c r="A813" s="54"/>
      <c r="B813" s="52"/>
      <c r="C813" s="55"/>
      <c r="D813" s="56"/>
      <c r="E813" s="54"/>
      <c r="F813" s="57"/>
      <c r="G813" s="58"/>
      <c r="H813" s="10"/>
      <c r="I813" s="10"/>
      <c r="J813" s="10"/>
      <c r="K813" s="10"/>
    </row>
    <row r="814" ht="30.0" customHeight="1">
      <c r="A814" s="54"/>
      <c r="B814" s="52"/>
      <c r="C814" s="55"/>
      <c r="D814" s="56"/>
      <c r="E814" s="54"/>
      <c r="F814" s="57"/>
      <c r="G814" s="58"/>
      <c r="H814" s="10"/>
      <c r="I814" s="10"/>
      <c r="J814" s="10"/>
      <c r="K814" s="10"/>
    </row>
    <row r="815" ht="30.0" customHeight="1">
      <c r="A815" s="54"/>
      <c r="B815" s="52"/>
      <c r="C815" s="55"/>
      <c r="D815" s="56"/>
      <c r="E815" s="54"/>
      <c r="F815" s="57"/>
      <c r="G815" s="58"/>
      <c r="H815" s="10"/>
      <c r="I815" s="10"/>
      <c r="J815" s="10"/>
      <c r="K815" s="10"/>
    </row>
    <row r="816" ht="30.0" customHeight="1">
      <c r="A816" s="54"/>
      <c r="B816" s="52"/>
      <c r="C816" s="55"/>
      <c r="D816" s="56"/>
      <c r="E816" s="54"/>
      <c r="F816" s="57"/>
      <c r="G816" s="58"/>
      <c r="H816" s="10"/>
      <c r="I816" s="10"/>
      <c r="J816" s="10"/>
      <c r="K816" s="10"/>
    </row>
    <row r="817" ht="30.0" customHeight="1">
      <c r="A817" s="54"/>
      <c r="B817" s="52"/>
      <c r="C817" s="55"/>
      <c r="D817" s="56"/>
      <c r="E817" s="54"/>
      <c r="F817" s="57"/>
      <c r="G817" s="58"/>
      <c r="H817" s="10"/>
      <c r="I817" s="10"/>
      <c r="J817" s="10"/>
      <c r="K817" s="10"/>
    </row>
    <row r="818" ht="30.0" customHeight="1">
      <c r="A818" s="54"/>
      <c r="B818" s="52"/>
      <c r="C818" s="55"/>
      <c r="D818" s="56"/>
      <c r="E818" s="54"/>
      <c r="F818" s="57"/>
      <c r="G818" s="58"/>
      <c r="H818" s="10"/>
      <c r="I818" s="10"/>
      <c r="J818" s="10"/>
      <c r="K818" s="10"/>
    </row>
    <row r="819" ht="30.0" customHeight="1">
      <c r="A819" s="54"/>
      <c r="B819" s="52"/>
      <c r="C819" s="55"/>
      <c r="D819" s="56"/>
      <c r="E819" s="54"/>
      <c r="F819" s="57"/>
      <c r="G819" s="58"/>
      <c r="H819" s="10"/>
      <c r="I819" s="10"/>
      <c r="J819" s="10"/>
      <c r="K819" s="10"/>
    </row>
    <row r="820" ht="30.0" customHeight="1">
      <c r="A820" s="54"/>
      <c r="B820" s="52"/>
      <c r="C820" s="55"/>
      <c r="D820" s="56"/>
      <c r="E820" s="54"/>
      <c r="F820" s="57"/>
      <c r="G820" s="58"/>
      <c r="H820" s="10"/>
      <c r="I820" s="10"/>
      <c r="J820" s="10"/>
      <c r="K820" s="10"/>
    </row>
    <row r="821" ht="30.0" customHeight="1">
      <c r="A821" s="54"/>
      <c r="B821" s="52"/>
      <c r="C821" s="55"/>
      <c r="D821" s="56"/>
      <c r="E821" s="54"/>
      <c r="F821" s="57"/>
      <c r="G821" s="58"/>
      <c r="H821" s="10"/>
      <c r="I821" s="10"/>
      <c r="J821" s="10"/>
      <c r="K821" s="10"/>
    </row>
    <row r="822" ht="30.0" customHeight="1">
      <c r="A822" s="54"/>
      <c r="B822" s="52"/>
      <c r="C822" s="55"/>
      <c r="D822" s="56"/>
      <c r="E822" s="54"/>
      <c r="F822" s="57"/>
      <c r="G822" s="58"/>
      <c r="H822" s="10"/>
      <c r="I822" s="10"/>
      <c r="J822" s="10"/>
      <c r="K822" s="10"/>
    </row>
    <row r="823" ht="30.0" customHeight="1">
      <c r="A823" s="54"/>
      <c r="B823" s="52"/>
      <c r="C823" s="55"/>
      <c r="D823" s="56"/>
      <c r="E823" s="54"/>
      <c r="F823" s="57"/>
      <c r="G823" s="58"/>
      <c r="H823" s="10"/>
      <c r="I823" s="10"/>
      <c r="J823" s="10"/>
      <c r="K823" s="10"/>
    </row>
    <row r="824" ht="30.0" customHeight="1">
      <c r="A824" s="54"/>
      <c r="B824" s="52"/>
      <c r="C824" s="55"/>
      <c r="D824" s="56"/>
      <c r="E824" s="54"/>
      <c r="F824" s="57"/>
      <c r="G824" s="58"/>
      <c r="H824" s="10"/>
      <c r="I824" s="10"/>
      <c r="J824" s="10"/>
      <c r="K824" s="10"/>
    </row>
    <row r="825" ht="30.0" customHeight="1">
      <c r="A825" s="54"/>
      <c r="B825" s="52"/>
      <c r="C825" s="55"/>
      <c r="D825" s="56"/>
      <c r="E825" s="54"/>
      <c r="F825" s="57"/>
      <c r="G825" s="58"/>
      <c r="H825" s="10"/>
      <c r="I825" s="10"/>
      <c r="J825" s="10"/>
      <c r="K825" s="10"/>
    </row>
    <row r="826" ht="30.0" customHeight="1">
      <c r="A826" s="54"/>
      <c r="B826" s="52"/>
      <c r="C826" s="55"/>
      <c r="D826" s="56"/>
      <c r="E826" s="54"/>
      <c r="F826" s="57"/>
      <c r="G826" s="58"/>
      <c r="H826" s="10"/>
      <c r="I826" s="10"/>
      <c r="J826" s="10"/>
      <c r="K826" s="10"/>
    </row>
    <row r="827" ht="30.0" customHeight="1">
      <c r="A827" s="54"/>
      <c r="B827" s="52"/>
      <c r="C827" s="55"/>
      <c r="D827" s="56"/>
      <c r="E827" s="54"/>
      <c r="F827" s="57"/>
      <c r="G827" s="58"/>
      <c r="H827" s="10"/>
      <c r="I827" s="10"/>
      <c r="J827" s="10"/>
      <c r="K827" s="10"/>
    </row>
    <row r="828" ht="30.0" customHeight="1">
      <c r="A828" s="54"/>
      <c r="B828" s="52"/>
      <c r="C828" s="55"/>
      <c r="D828" s="56"/>
      <c r="E828" s="54"/>
      <c r="F828" s="57"/>
      <c r="G828" s="58"/>
      <c r="H828" s="10"/>
      <c r="I828" s="10"/>
      <c r="J828" s="10"/>
      <c r="K828" s="10"/>
    </row>
    <row r="829" ht="30.0" customHeight="1">
      <c r="A829" s="54"/>
      <c r="B829" s="52"/>
      <c r="C829" s="55"/>
      <c r="D829" s="56"/>
      <c r="E829" s="54"/>
      <c r="F829" s="57"/>
      <c r="G829" s="58"/>
      <c r="H829" s="10"/>
      <c r="I829" s="10"/>
      <c r="J829" s="10"/>
      <c r="K829" s="10"/>
    </row>
    <row r="830" ht="30.0" customHeight="1">
      <c r="A830" s="54"/>
      <c r="B830" s="52"/>
      <c r="C830" s="55"/>
      <c r="D830" s="56"/>
      <c r="E830" s="54"/>
      <c r="F830" s="57"/>
      <c r="G830" s="58"/>
      <c r="H830" s="10"/>
      <c r="I830" s="10"/>
      <c r="J830" s="10"/>
      <c r="K830" s="10"/>
    </row>
    <row r="831" ht="30.0" customHeight="1">
      <c r="A831" s="54"/>
      <c r="B831" s="52"/>
      <c r="C831" s="55"/>
      <c r="D831" s="56"/>
      <c r="E831" s="54"/>
      <c r="F831" s="57"/>
      <c r="G831" s="58"/>
      <c r="H831" s="10"/>
      <c r="I831" s="10"/>
      <c r="J831" s="10"/>
      <c r="K831" s="10"/>
    </row>
    <row r="832" ht="30.0" customHeight="1">
      <c r="A832" s="54"/>
      <c r="B832" s="52"/>
      <c r="C832" s="55"/>
      <c r="D832" s="56"/>
      <c r="E832" s="54"/>
      <c r="F832" s="57"/>
      <c r="G832" s="58"/>
      <c r="H832" s="10"/>
      <c r="I832" s="10"/>
      <c r="J832" s="10"/>
      <c r="K832" s="10"/>
    </row>
    <row r="833" ht="30.0" customHeight="1">
      <c r="A833" s="54"/>
      <c r="B833" s="52"/>
      <c r="C833" s="55"/>
      <c r="D833" s="56"/>
      <c r="E833" s="54"/>
      <c r="F833" s="57"/>
      <c r="G833" s="58"/>
      <c r="H833" s="10"/>
      <c r="I833" s="10"/>
      <c r="J833" s="10"/>
      <c r="K833" s="10"/>
    </row>
    <row r="834" ht="30.0" customHeight="1">
      <c r="A834" s="54"/>
      <c r="B834" s="52"/>
      <c r="C834" s="55"/>
      <c r="D834" s="56"/>
      <c r="E834" s="54"/>
      <c r="F834" s="57"/>
      <c r="G834" s="58"/>
      <c r="H834" s="10"/>
      <c r="I834" s="10"/>
      <c r="J834" s="10"/>
      <c r="K834" s="10"/>
    </row>
    <row r="835" ht="30.0" customHeight="1">
      <c r="A835" s="54"/>
      <c r="B835" s="52"/>
      <c r="C835" s="55"/>
      <c r="D835" s="56"/>
      <c r="E835" s="54"/>
      <c r="F835" s="57"/>
      <c r="G835" s="58"/>
      <c r="H835" s="10"/>
      <c r="I835" s="10"/>
      <c r="J835" s="10"/>
      <c r="K835" s="10"/>
    </row>
    <row r="836" ht="30.0" customHeight="1">
      <c r="A836" s="54"/>
      <c r="B836" s="52"/>
      <c r="C836" s="55"/>
      <c r="D836" s="56"/>
      <c r="E836" s="54"/>
      <c r="F836" s="57"/>
      <c r="G836" s="58"/>
      <c r="H836" s="10"/>
      <c r="I836" s="10"/>
      <c r="J836" s="10"/>
      <c r="K836" s="10"/>
    </row>
    <row r="837" ht="30.0" customHeight="1">
      <c r="A837" s="54"/>
      <c r="B837" s="52"/>
      <c r="C837" s="55"/>
      <c r="D837" s="56"/>
      <c r="E837" s="54"/>
      <c r="F837" s="57"/>
      <c r="G837" s="58"/>
      <c r="H837" s="10"/>
      <c r="I837" s="10"/>
      <c r="J837" s="10"/>
      <c r="K837" s="10"/>
    </row>
    <row r="838" ht="30.0" customHeight="1">
      <c r="A838" s="54"/>
      <c r="B838" s="52"/>
      <c r="C838" s="55"/>
      <c r="D838" s="56"/>
      <c r="E838" s="54"/>
      <c r="F838" s="57"/>
      <c r="G838" s="58"/>
      <c r="H838" s="10"/>
      <c r="I838" s="10"/>
      <c r="J838" s="10"/>
      <c r="K838" s="10"/>
    </row>
    <row r="839" ht="30.0" customHeight="1">
      <c r="A839" s="54"/>
      <c r="B839" s="52"/>
      <c r="C839" s="55"/>
      <c r="D839" s="56"/>
      <c r="E839" s="54"/>
      <c r="F839" s="57"/>
      <c r="G839" s="58"/>
      <c r="H839" s="10"/>
      <c r="I839" s="10"/>
      <c r="J839" s="10"/>
      <c r="K839" s="10"/>
    </row>
    <row r="840" ht="30.0" customHeight="1">
      <c r="A840" s="54"/>
      <c r="B840" s="52"/>
      <c r="C840" s="55"/>
      <c r="D840" s="56"/>
      <c r="E840" s="54"/>
      <c r="F840" s="57"/>
      <c r="G840" s="58"/>
      <c r="H840" s="10"/>
      <c r="I840" s="10"/>
      <c r="J840" s="10"/>
      <c r="K840" s="10"/>
    </row>
    <row r="841" ht="30.0" customHeight="1">
      <c r="A841" s="54"/>
      <c r="B841" s="52"/>
      <c r="C841" s="55"/>
      <c r="D841" s="56"/>
      <c r="E841" s="54"/>
      <c r="F841" s="57"/>
      <c r="G841" s="58"/>
      <c r="H841" s="10"/>
      <c r="I841" s="10"/>
      <c r="J841" s="10"/>
      <c r="K841" s="10"/>
    </row>
    <row r="842" ht="30.0" customHeight="1">
      <c r="A842" s="54"/>
      <c r="B842" s="52"/>
      <c r="C842" s="55"/>
      <c r="D842" s="56"/>
      <c r="E842" s="54"/>
      <c r="F842" s="57"/>
      <c r="G842" s="58"/>
      <c r="H842" s="10"/>
      <c r="I842" s="10"/>
      <c r="J842" s="10"/>
      <c r="K842" s="10"/>
    </row>
    <row r="843" ht="30.0" customHeight="1">
      <c r="A843" s="54"/>
      <c r="B843" s="52"/>
      <c r="C843" s="55"/>
      <c r="D843" s="56"/>
      <c r="E843" s="54"/>
      <c r="F843" s="57"/>
      <c r="G843" s="58"/>
      <c r="H843" s="10"/>
      <c r="I843" s="10"/>
      <c r="J843" s="10"/>
      <c r="K843" s="10"/>
    </row>
    <row r="844" ht="30.0" customHeight="1">
      <c r="A844" s="54"/>
      <c r="B844" s="52"/>
      <c r="C844" s="55"/>
      <c r="D844" s="56"/>
      <c r="E844" s="54"/>
      <c r="F844" s="57"/>
      <c r="G844" s="58"/>
      <c r="H844" s="10"/>
      <c r="I844" s="10"/>
      <c r="J844" s="10"/>
      <c r="K844" s="10"/>
    </row>
    <row r="845" ht="30.0" customHeight="1">
      <c r="A845" s="54"/>
      <c r="B845" s="52"/>
      <c r="C845" s="55"/>
      <c r="D845" s="56"/>
      <c r="E845" s="54"/>
      <c r="F845" s="57"/>
      <c r="G845" s="58"/>
      <c r="H845" s="10"/>
      <c r="I845" s="10"/>
      <c r="J845" s="10"/>
      <c r="K845" s="10"/>
    </row>
    <row r="846" ht="30.0" customHeight="1">
      <c r="A846" s="54"/>
      <c r="B846" s="52"/>
      <c r="C846" s="55"/>
      <c r="D846" s="56"/>
      <c r="E846" s="54"/>
      <c r="F846" s="57"/>
      <c r="G846" s="58"/>
      <c r="H846" s="10"/>
      <c r="I846" s="10"/>
      <c r="J846" s="10"/>
      <c r="K846" s="10"/>
    </row>
    <row r="847" ht="30.0" customHeight="1">
      <c r="A847" s="54"/>
      <c r="B847" s="52"/>
      <c r="C847" s="55"/>
      <c r="D847" s="56"/>
      <c r="E847" s="54"/>
      <c r="F847" s="57"/>
      <c r="G847" s="58"/>
      <c r="H847" s="10"/>
      <c r="I847" s="10"/>
      <c r="J847" s="10"/>
      <c r="K847" s="10"/>
    </row>
    <row r="848" ht="30.0" customHeight="1">
      <c r="A848" s="54"/>
      <c r="B848" s="52"/>
      <c r="C848" s="55"/>
      <c r="D848" s="56"/>
      <c r="E848" s="54"/>
      <c r="F848" s="57"/>
      <c r="G848" s="58"/>
      <c r="H848" s="10"/>
      <c r="I848" s="10"/>
      <c r="J848" s="10"/>
      <c r="K848" s="10"/>
    </row>
    <row r="849" ht="30.0" customHeight="1">
      <c r="A849" s="54"/>
      <c r="B849" s="52"/>
      <c r="C849" s="55"/>
      <c r="D849" s="56"/>
      <c r="E849" s="54"/>
      <c r="F849" s="57"/>
      <c r="G849" s="58"/>
      <c r="H849" s="10"/>
      <c r="I849" s="10"/>
      <c r="J849" s="10"/>
      <c r="K849" s="10"/>
    </row>
    <row r="850" ht="30.0" customHeight="1">
      <c r="A850" s="54"/>
      <c r="B850" s="52"/>
      <c r="C850" s="55"/>
      <c r="D850" s="56"/>
      <c r="E850" s="54"/>
      <c r="F850" s="57"/>
      <c r="G850" s="58"/>
      <c r="H850" s="10"/>
      <c r="I850" s="10"/>
      <c r="J850" s="10"/>
      <c r="K850" s="10"/>
    </row>
    <row r="851" ht="30.0" customHeight="1">
      <c r="A851" s="54"/>
      <c r="B851" s="52"/>
      <c r="C851" s="55"/>
      <c r="D851" s="56"/>
      <c r="E851" s="54"/>
      <c r="F851" s="57"/>
      <c r="G851" s="58"/>
      <c r="H851" s="10"/>
      <c r="I851" s="10"/>
      <c r="J851" s="10"/>
      <c r="K851" s="10"/>
    </row>
    <row r="852" ht="30.0" customHeight="1">
      <c r="A852" s="54"/>
      <c r="B852" s="52"/>
      <c r="C852" s="55"/>
      <c r="D852" s="56"/>
      <c r="E852" s="54"/>
      <c r="F852" s="57"/>
      <c r="G852" s="58"/>
      <c r="H852" s="10"/>
      <c r="I852" s="10"/>
      <c r="J852" s="10"/>
      <c r="K852" s="10"/>
    </row>
    <row r="853" ht="30.0" customHeight="1">
      <c r="A853" s="54"/>
      <c r="B853" s="52"/>
      <c r="C853" s="55"/>
      <c r="D853" s="56"/>
      <c r="E853" s="54"/>
      <c r="F853" s="57"/>
      <c r="G853" s="58"/>
      <c r="H853" s="10"/>
      <c r="I853" s="10"/>
      <c r="J853" s="10"/>
      <c r="K853" s="10"/>
    </row>
    <row r="854" ht="30.0" customHeight="1">
      <c r="A854" s="54"/>
      <c r="B854" s="52"/>
      <c r="C854" s="55"/>
      <c r="D854" s="56"/>
      <c r="E854" s="54"/>
      <c r="F854" s="57"/>
      <c r="G854" s="58"/>
      <c r="H854" s="10"/>
      <c r="I854" s="10"/>
      <c r="J854" s="10"/>
      <c r="K854" s="10"/>
    </row>
    <row r="855" ht="30.0" customHeight="1">
      <c r="A855" s="54"/>
      <c r="B855" s="52"/>
      <c r="C855" s="55"/>
      <c r="D855" s="56"/>
      <c r="E855" s="54"/>
      <c r="F855" s="57"/>
      <c r="G855" s="58"/>
      <c r="H855" s="10"/>
      <c r="I855" s="10"/>
      <c r="J855" s="10"/>
      <c r="K855" s="10"/>
    </row>
    <row r="856" ht="30.0" customHeight="1">
      <c r="A856" s="54"/>
      <c r="B856" s="52"/>
      <c r="C856" s="55"/>
      <c r="D856" s="56"/>
      <c r="E856" s="54"/>
      <c r="F856" s="57"/>
      <c r="G856" s="58"/>
      <c r="H856" s="10"/>
      <c r="I856" s="10"/>
      <c r="J856" s="10"/>
      <c r="K856" s="10"/>
    </row>
    <row r="857" ht="30.0" customHeight="1">
      <c r="A857" s="54"/>
      <c r="B857" s="52"/>
      <c r="C857" s="55"/>
      <c r="D857" s="56"/>
      <c r="E857" s="54"/>
      <c r="F857" s="57"/>
      <c r="G857" s="58"/>
      <c r="H857" s="10"/>
      <c r="I857" s="10"/>
      <c r="J857" s="10"/>
      <c r="K857" s="10"/>
    </row>
    <row r="858" ht="30.0" customHeight="1">
      <c r="A858" s="54"/>
      <c r="B858" s="52"/>
      <c r="C858" s="55"/>
      <c r="D858" s="56"/>
      <c r="E858" s="54"/>
      <c r="F858" s="57"/>
      <c r="G858" s="58"/>
      <c r="H858" s="10"/>
      <c r="I858" s="10"/>
      <c r="J858" s="10"/>
      <c r="K858" s="10"/>
    </row>
    <row r="859" ht="30.0" customHeight="1">
      <c r="A859" s="54"/>
      <c r="B859" s="52"/>
      <c r="C859" s="55"/>
      <c r="D859" s="56"/>
      <c r="E859" s="54"/>
      <c r="F859" s="57"/>
      <c r="G859" s="58"/>
      <c r="H859" s="10"/>
      <c r="I859" s="10"/>
      <c r="J859" s="10"/>
      <c r="K859" s="10"/>
    </row>
    <row r="860" ht="30.0" customHeight="1">
      <c r="A860" s="54"/>
      <c r="B860" s="52"/>
      <c r="C860" s="55"/>
      <c r="D860" s="56"/>
      <c r="E860" s="54"/>
      <c r="F860" s="57"/>
      <c r="G860" s="58"/>
      <c r="H860" s="10"/>
      <c r="I860" s="10"/>
      <c r="J860" s="10"/>
      <c r="K860" s="10"/>
    </row>
    <row r="861" ht="30.0" customHeight="1">
      <c r="A861" s="54"/>
      <c r="B861" s="52"/>
      <c r="C861" s="55"/>
      <c r="D861" s="56"/>
      <c r="E861" s="54"/>
      <c r="F861" s="57"/>
      <c r="G861" s="58"/>
      <c r="H861" s="10"/>
      <c r="I861" s="10"/>
      <c r="J861" s="10"/>
      <c r="K861" s="10"/>
    </row>
    <row r="862" ht="30.0" customHeight="1">
      <c r="A862" s="54"/>
      <c r="B862" s="52"/>
      <c r="C862" s="55"/>
      <c r="D862" s="56"/>
      <c r="E862" s="54"/>
      <c r="F862" s="57"/>
      <c r="G862" s="58"/>
      <c r="H862" s="10"/>
      <c r="I862" s="10"/>
      <c r="J862" s="10"/>
      <c r="K862" s="10"/>
    </row>
    <row r="863" ht="30.0" customHeight="1">
      <c r="A863" s="54"/>
      <c r="B863" s="52"/>
      <c r="C863" s="55"/>
      <c r="D863" s="56"/>
      <c r="E863" s="54"/>
      <c r="F863" s="57"/>
      <c r="G863" s="58"/>
      <c r="H863" s="10"/>
      <c r="I863" s="10"/>
      <c r="J863" s="10"/>
      <c r="K863" s="10"/>
    </row>
    <row r="864" ht="30.0" customHeight="1">
      <c r="A864" s="54"/>
      <c r="B864" s="52"/>
      <c r="C864" s="55"/>
      <c r="D864" s="56"/>
      <c r="E864" s="54"/>
      <c r="F864" s="57"/>
      <c r="G864" s="58"/>
      <c r="H864" s="10"/>
      <c r="I864" s="10"/>
      <c r="J864" s="10"/>
      <c r="K864" s="10"/>
    </row>
    <row r="865" ht="30.0" customHeight="1">
      <c r="A865" s="54"/>
      <c r="B865" s="52"/>
      <c r="C865" s="55"/>
      <c r="D865" s="56"/>
      <c r="E865" s="54"/>
      <c r="F865" s="57"/>
      <c r="G865" s="58"/>
      <c r="H865" s="10"/>
      <c r="I865" s="10"/>
      <c r="J865" s="10"/>
      <c r="K865" s="10"/>
    </row>
    <row r="866" ht="30.0" customHeight="1">
      <c r="A866" s="54"/>
      <c r="B866" s="52"/>
      <c r="C866" s="55"/>
      <c r="D866" s="56"/>
      <c r="E866" s="54"/>
      <c r="F866" s="57"/>
      <c r="G866" s="58"/>
      <c r="H866" s="10"/>
      <c r="I866" s="10"/>
      <c r="J866" s="10"/>
      <c r="K866" s="10"/>
    </row>
    <row r="867" ht="30.0" customHeight="1">
      <c r="A867" s="54"/>
      <c r="B867" s="52"/>
      <c r="C867" s="55"/>
      <c r="D867" s="56"/>
      <c r="E867" s="54"/>
      <c r="F867" s="57"/>
      <c r="G867" s="58"/>
      <c r="H867" s="10"/>
      <c r="I867" s="10"/>
      <c r="J867" s="10"/>
      <c r="K867" s="10"/>
    </row>
    <row r="868" ht="30.0" customHeight="1">
      <c r="A868" s="54"/>
      <c r="B868" s="52"/>
      <c r="C868" s="55"/>
      <c r="D868" s="56"/>
      <c r="E868" s="54"/>
      <c r="F868" s="57"/>
      <c r="G868" s="58"/>
      <c r="H868" s="10"/>
      <c r="I868" s="10"/>
      <c r="J868" s="10"/>
      <c r="K868" s="10"/>
    </row>
    <row r="869" ht="30.0" customHeight="1">
      <c r="A869" s="54"/>
      <c r="B869" s="52"/>
      <c r="C869" s="55"/>
      <c r="D869" s="56"/>
      <c r="E869" s="54"/>
      <c r="F869" s="57"/>
      <c r="G869" s="58"/>
      <c r="H869" s="10"/>
      <c r="I869" s="10"/>
      <c r="J869" s="10"/>
      <c r="K869" s="10"/>
    </row>
    <row r="870" ht="30.0" customHeight="1">
      <c r="A870" s="54"/>
      <c r="B870" s="52"/>
      <c r="C870" s="55"/>
      <c r="D870" s="56"/>
      <c r="E870" s="54"/>
      <c r="F870" s="57"/>
      <c r="G870" s="58"/>
      <c r="H870" s="10"/>
      <c r="I870" s="10"/>
      <c r="J870" s="10"/>
      <c r="K870" s="10"/>
    </row>
    <row r="871" ht="30.0" customHeight="1">
      <c r="A871" s="54"/>
      <c r="B871" s="52"/>
      <c r="C871" s="55"/>
      <c r="D871" s="56"/>
      <c r="E871" s="54"/>
      <c r="F871" s="57"/>
      <c r="G871" s="58"/>
      <c r="H871" s="10"/>
      <c r="I871" s="10"/>
      <c r="J871" s="10"/>
      <c r="K871" s="10"/>
    </row>
    <row r="872" ht="30.0" customHeight="1">
      <c r="A872" s="54"/>
      <c r="B872" s="52"/>
      <c r="C872" s="55"/>
      <c r="D872" s="56"/>
      <c r="E872" s="54"/>
      <c r="F872" s="57"/>
      <c r="G872" s="58"/>
      <c r="H872" s="10"/>
      <c r="I872" s="10"/>
      <c r="J872" s="10"/>
      <c r="K872" s="10"/>
    </row>
    <row r="873" ht="30.0" customHeight="1">
      <c r="A873" s="54"/>
      <c r="B873" s="52"/>
      <c r="C873" s="55"/>
      <c r="D873" s="56"/>
      <c r="E873" s="54"/>
      <c r="F873" s="57"/>
      <c r="G873" s="58"/>
      <c r="H873" s="10"/>
      <c r="I873" s="10"/>
      <c r="J873" s="10"/>
      <c r="K873" s="10"/>
    </row>
    <row r="874" ht="30.0" customHeight="1">
      <c r="A874" s="54"/>
      <c r="B874" s="52"/>
      <c r="C874" s="55"/>
      <c r="D874" s="56"/>
      <c r="E874" s="54"/>
      <c r="F874" s="57"/>
      <c r="G874" s="58"/>
      <c r="H874" s="10"/>
      <c r="I874" s="10"/>
      <c r="J874" s="10"/>
      <c r="K874" s="10"/>
    </row>
    <row r="875" ht="30.0" customHeight="1">
      <c r="A875" s="54"/>
      <c r="B875" s="52"/>
      <c r="C875" s="55"/>
      <c r="D875" s="56"/>
      <c r="E875" s="54"/>
      <c r="F875" s="57"/>
      <c r="G875" s="58"/>
      <c r="H875" s="10"/>
      <c r="I875" s="10"/>
      <c r="J875" s="10"/>
      <c r="K875" s="10"/>
    </row>
    <row r="876" ht="30.0" customHeight="1">
      <c r="A876" s="54"/>
      <c r="B876" s="52"/>
      <c r="C876" s="55"/>
      <c r="D876" s="56"/>
      <c r="E876" s="54"/>
      <c r="F876" s="57"/>
      <c r="G876" s="58"/>
      <c r="H876" s="10"/>
      <c r="I876" s="10"/>
      <c r="J876" s="10"/>
      <c r="K876" s="10"/>
    </row>
    <row r="877" ht="30.0" customHeight="1">
      <c r="A877" s="54"/>
      <c r="B877" s="52"/>
      <c r="C877" s="55"/>
      <c r="D877" s="56"/>
      <c r="E877" s="54"/>
      <c r="F877" s="57"/>
      <c r="G877" s="58"/>
      <c r="H877" s="10"/>
      <c r="I877" s="10"/>
      <c r="J877" s="10"/>
      <c r="K877" s="10"/>
    </row>
    <row r="878" ht="30.0" customHeight="1">
      <c r="A878" s="54"/>
      <c r="B878" s="52"/>
      <c r="C878" s="55"/>
      <c r="D878" s="56"/>
      <c r="E878" s="54"/>
      <c r="F878" s="57"/>
      <c r="G878" s="58"/>
      <c r="H878" s="10"/>
      <c r="I878" s="10"/>
      <c r="J878" s="10"/>
      <c r="K878" s="10"/>
    </row>
    <row r="879" ht="30.0" customHeight="1">
      <c r="A879" s="54"/>
      <c r="B879" s="52"/>
      <c r="C879" s="55"/>
      <c r="D879" s="56"/>
      <c r="E879" s="54"/>
      <c r="F879" s="57"/>
      <c r="G879" s="58"/>
      <c r="H879" s="10"/>
      <c r="I879" s="10"/>
      <c r="J879" s="10"/>
      <c r="K879" s="10"/>
    </row>
    <row r="880" ht="30.0" customHeight="1">
      <c r="A880" s="54"/>
      <c r="B880" s="52"/>
      <c r="C880" s="55"/>
      <c r="D880" s="56"/>
      <c r="E880" s="54"/>
      <c r="F880" s="57"/>
      <c r="G880" s="58"/>
      <c r="H880" s="10"/>
      <c r="I880" s="10"/>
      <c r="J880" s="10"/>
      <c r="K880" s="10"/>
    </row>
    <row r="881" ht="30.0" customHeight="1">
      <c r="A881" s="54"/>
      <c r="B881" s="52"/>
      <c r="C881" s="55"/>
      <c r="D881" s="56"/>
      <c r="E881" s="54"/>
      <c r="F881" s="57"/>
      <c r="G881" s="58"/>
      <c r="H881" s="10"/>
      <c r="I881" s="10"/>
      <c r="J881" s="10"/>
      <c r="K881" s="10"/>
    </row>
    <row r="882" ht="30.0" customHeight="1">
      <c r="A882" s="54"/>
      <c r="B882" s="52"/>
      <c r="C882" s="55"/>
      <c r="D882" s="56"/>
      <c r="E882" s="54"/>
      <c r="F882" s="57"/>
      <c r="G882" s="58"/>
      <c r="H882" s="10"/>
      <c r="I882" s="10"/>
      <c r="J882" s="10"/>
      <c r="K882" s="10"/>
    </row>
    <row r="883" ht="30.0" customHeight="1">
      <c r="A883" s="54"/>
      <c r="B883" s="52"/>
      <c r="C883" s="55"/>
      <c r="D883" s="56"/>
      <c r="E883" s="54"/>
      <c r="F883" s="57"/>
      <c r="G883" s="58"/>
      <c r="H883" s="10"/>
      <c r="I883" s="10"/>
      <c r="J883" s="10"/>
      <c r="K883" s="10"/>
    </row>
    <row r="884" ht="30.0" customHeight="1">
      <c r="A884" s="54"/>
      <c r="B884" s="52"/>
      <c r="C884" s="55"/>
      <c r="D884" s="56"/>
      <c r="E884" s="54"/>
      <c r="F884" s="57"/>
      <c r="G884" s="58"/>
      <c r="H884" s="10"/>
      <c r="I884" s="10"/>
      <c r="J884" s="10"/>
      <c r="K884" s="10"/>
    </row>
    <row r="885" ht="30.0" customHeight="1">
      <c r="A885" s="54"/>
      <c r="B885" s="52"/>
      <c r="C885" s="55"/>
      <c r="D885" s="56"/>
      <c r="E885" s="54"/>
      <c r="F885" s="57"/>
      <c r="G885" s="58"/>
      <c r="H885" s="10"/>
      <c r="I885" s="10"/>
      <c r="J885" s="10"/>
      <c r="K885" s="10"/>
    </row>
    <row r="886" ht="30.0" customHeight="1">
      <c r="A886" s="54"/>
      <c r="B886" s="52"/>
      <c r="C886" s="55"/>
      <c r="D886" s="56"/>
      <c r="E886" s="54"/>
      <c r="F886" s="57"/>
      <c r="G886" s="58"/>
      <c r="H886" s="10"/>
      <c r="I886" s="10"/>
      <c r="J886" s="10"/>
      <c r="K886" s="10"/>
    </row>
    <row r="887" ht="30.0" customHeight="1">
      <c r="A887" s="54"/>
      <c r="B887" s="52"/>
      <c r="C887" s="55"/>
      <c r="D887" s="56"/>
      <c r="E887" s="54"/>
      <c r="F887" s="57"/>
      <c r="G887" s="58"/>
      <c r="H887" s="10"/>
      <c r="I887" s="10"/>
      <c r="J887" s="10"/>
      <c r="K887" s="10"/>
    </row>
    <row r="888" ht="30.0" customHeight="1">
      <c r="A888" s="54"/>
      <c r="B888" s="52"/>
      <c r="C888" s="55"/>
      <c r="D888" s="56"/>
      <c r="E888" s="54"/>
      <c r="F888" s="57"/>
      <c r="G888" s="58"/>
      <c r="H888" s="10"/>
      <c r="I888" s="10"/>
      <c r="J888" s="10"/>
      <c r="K888" s="10"/>
    </row>
    <row r="889" ht="30.0" customHeight="1">
      <c r="A889" s="54"/>
      <c r="B889" s="52"/>
      <c r="C889" s="55"/>
      <c r="D889" s="56"/>
      <c r="E889" s="54"/>
      <c r="F889" s="57"/>
      <c r="G889" s="58"/>
      <c r="H889" s="10"/>
      <c r="I889" s="10"/>
      <c r="J889" s="10"/>
      <c r="K889" s="10"/>
    </row>
    <row r="890" ht="30.0" customHeight="1">
      <c r="A890" s="54"/>
      <c r="B890" s="52"/>
      <c r="C890" s="55"/>
      <c r="D890" s="56"/>
      <c r="E890" s="54"/>
      <c r="F890" s="57"/>
      <c r="G890" s="58"/>
      <c r="H890" s="10"/>
      <c r="I890" s="10"/>
      <c r="J890" s="10"/>
      <c r="K890" s="10"/>
    </row>
    <row r="891" ht="30.0" customHeight="1">
      <c r="A891" s="54"/>
      <c r="B891" s="52"/>
      <c r="C891" s="55"/>
      <c r="D891" s="56"/>
      <c r="E891" s="54"/>
      <c r="F891" s="57"/>
      <c r="G891" s="58"/>
      <c r="H891" s="10"/>
      <c r="I891" s="10"/>
      <c r="J891" s="10"/>
      <c r="K891" s="10"/>
    </row>
    <row r="892" ht="30.0" customHeight="1">
      <c r="A892" s="54"/>
      <c r="B892" s="52"/>
      <c r="C892" s="55"/>
      <c r="D892" s="56"/>
      <c r="E892" s="54"/>
      <c r="F892" s="57"/>
      <c r="G892" s="58"/>
      <c r="H892" s="10"/>
      <c r="I892" s="10"/>
      <c r="J892" s="10"/>
      <c r="K892" s="10"/>
    </row>
    <row r="893" ht="30.0" customHeight="1">
      <c r="A893" s="54"/>
      <c r="B893" s="52"/>
      <c r="C893" s="55"/>
      <c r="D893" s="56"/>
      <c r="E893" s="54"/>
      <c r="F893" s="57"/>
      <c r="G893" s="58"/>
      <c r="H893" s="10"/>
      <c r="I893" s="10"/>
      <c r="J893" s="10"/>
      <c r="K893" s="10"/>
    </row>
    <row r="894" ht="30.0" customHeight="1">
      <c r="A894" s="54"/>
      <c r="B894" s="52"/>
      <c r="C894" s="55"/>
      <c r="D894" s="56"/>
      <c r="E894" s="54"/>
      <c r="F894" s="57"/>
      <c r="G894" s="58"/>
      <c r="H894" s="10"/>
      <c r="I894" s="10"/>
      <c r="J894" s="10"/>
      <c r="K894" s="10"/>
    </row>
    <row r="895" ht="30.0" customHeight="1">
      <c r="A895" s="54"/>
      <c r="B895" s="52"/>
      <c r="C895" s="55"/>
      <c r="D895" s="56"/>
      <c r="E895" s="54"/>
      <c r="F895" s="57"/>
      <c r="G895" s="58"/>
      <c r="H895" s="10"/>
      <c r="I895" s="10"/>
      <c r="J895" s="10"/>
      <c r="K895" s="10"/>
    </row>
    <row r="896" ht="30.0" customHeight="1">
      <c r="A896" s="54"/>
      <c r="B896" s="52"/>
      <c r="C896" s="55"/>
      <c r="D896" s="56"/>
      <c r="E896" s="54"/>
      <c r="F896" s="57"/>
      <c r="G896" s="58"/>
      <c r="H896" s="10"/>
      <c r="I896" s="10"/>
      <c r="J896" s="10"/>
      <c r="K896" s="10"/>
    </row>
    <row r="897" ht="30.0" customHeight="1">
      <c r="A897" s="54"/>
      <c r="B897" s="52"/>
      <c r="C897" s="55"/>
      <c r="D897" s="56"/>
      <c r="E897" s="54"/>
      <c r="F897" s="57"/>
      <c r="G897" s="58"/>
      <c r="H897" s="10"/>
      <c r="I897" s="10"/>
      <c r="J897" s="10"/>
      <c r="K897" s="10"/>
    </row>
    <row r="898" ht="30.0" customHeight="1">
      <c r="A898" s="54"/>
      <c r="B898" s="52"/>
      <c r="C898" s="55"/>
      <c r="D898" s="56"/>
      <c r="E898" s="54"/>
      <c r="F898" s="57"/>
      <c r="G898" s="58"/>
      <c r="H898" s="10"/>
      <c r="I898" s="10"/>
      <c r="J898" s="10"/>
      <c r="K898" s="10"/>
    </row>
    <row r="899" ht="30.0" customHeight="1">
      <c r="A899" s="54"/>
      <c r="B899" s="52"/>
      <c r="C899" s="55"/>
      <c r="D899" s="56"/>
      <c r="E899" s="54"/>
      <c r="F899" s="57"/>
      <c r="G899" s="58"/>
      <c r="H899" s="10"/>
      <c r="I899" s="10"/>
      <c r="J899" s="10"/>
      <c r="K899" s="10"/>
    </row>
    <row r="900" ht="30.0" customHeight="1">
      <c r="A900" s="54"/>
      <c r="B900" s="52"/>
      <c r="C900" s="55"/>
      <c r="D900" s="56"/>
      <c r="E900" s="54"/>
      <c r="F900" s="57"/>
      <c r="G900" s="58"/>
      <c r="H900" s="10"/>
      <c r="I900" s="10"/>
      <c r="J900" s="10"/>
      <c r="K900" s="10"/>
    </row>
    <row r="901" ht="30.0" customHeight="1">
      <c r="A901" s="54"/>
      <c r="B901" s="52"/>
      <c r="C901" s="55"/>
      <c r="D901" s="56"/>
      <c r="E901" s="54"/>
      <c r="F901" s="57"/>
      <c r="G901" s="58"/>
      <c r="H901" s="10"/>
      <c r="I901" s="10"/>
      <c r="J901" s="10"/>
      <c r="K901" s="10"/>
    </row>
    <row r="902" ht="30.0" customHeight="1">
      <c r="A902" s="54"/>
      <c r="B902" s="52"/>
      <c r="C902" s="55"/>
      <c r="D902" s="56"/>
      <c r="E902" s="54"/>
      <c r="F902" s="57"/>
      <c r="G902" s="58"/>
      <c r="H902" s="10"/>
      <c r="I902" s="10"/>
      <c r="J902" s="10"/>
      <c r="K902" s="10"/>
    </row>
    <row r="903" ht="30.0" customHeight="1">
      <c r="A903" s="54"/>
      <c r="B903" s="52"/>
      <c r="C903" s="55"/>
      <c r="D903" s="56"/>
      <c r="E903" s="54"/>
      <c r="F903" s="57"/>
      <c r="G903" s="58"/>
      <c r="H903" s="10"/>
      <c r="I903" s="10"/>
      <c r="J903" s="10"/>
      <c r="K903" s="10"/>
    </row>
    <row r="904" ht="30.0" customHeight="1">
      <c r="A904" s="54"/>
      <c r="B904" s="52"/>
      <c r="C904" s="55"/>
      <c r="D904" s="56"/>
      <c r="E904" s="54"/>
      <c r="F904" s="57"/>
      <c r="G904" s="58"/>
      <c r="H904" s="10"/>
      <c r="I904" s="10"/>
      <c r="J904" s="10"/>
      <c r="K904" s="10"/>
    </row>
    <row r="905" ht="30.0" customHeight="1">
      <c r="A905" s="54"/>
      <c r="B905" s="52"/>
      <c r="C905" s="55"/>
      <c r="D905" s="56"/>
      <c r="E905" s="54"/>
      <c r="F905" s="57"/>
      <c r="G905" s="58"/>
      <c r="H905" s="10"/>
      <c r="I905" s="10"/>
      <c r="J905" s="10"/>
      <c r="K905" s="10"/>
    </row>
    <row r="906" ht="30.0" customHeight="1">
      <c r="A906" s="54"/>
      <c r="B906" s="52"/>
      <c r="C906" s="55"/>
      <c r="D906" s="56"/>
      <c r="E906" s="54"/>
      <c r="F906" s="57"/>
      <c r="G906" s="58"/>
      <c r="H906" s="10"/>
      <c r="I906" s="10"/>
      <c r="J906" s="10"/>
      <c r="K906" s="10"/>
    </row>
    <row r="907" ht="30.0" customHeight="1">
      <c r="A907" s="54"/>
      <c r="B907" s="52"/>
      <c r="C907" s="55"/>
      <c r="D907" s="56"/>
      <c r="E907" s="54"/>
      <c r="F907" s="57"/>
      <c r="G907" s="58"/>
      <c r="H907" s="10"/>
      <c r="I907" s="10"/>
      <c r="J907" s="10"/>
      <c r="K907" s="10"/>
    </row>
    <row r="908" ht="30.0" customHeight="1">
      <c r="A908" s="54"/>
      <c r="B908" s="52"/>
      <c r="C908" s="55"/>
      <c r="D908" s="56"/>
      <c r="E908" s="54"/>
      <c r="F908" s="57"/>
      <c r="G908" s="58"/>
      <c r="H908" s="10"/>
      <c r="I908" s="10"/>
      <c r="J908" s="10"/>
      <c r="K908" s="10"/>
    </row>
    <row r="909" ht="30.0" customHeight="1">
      <c r="A909" s="54"/>
      <c r="B909" s="52"/>
      <c r="C909" s="55"/>
      <c r="D909" s="56"/>
      <c r="E909" s="54"/>
      <c r="F909" s="57"/>
      <c r="G909" s="58"/>
      <c r="H909" s="10"/>
      <c r="I909" s="10"/>
      <c r="J909" s="10"/>
      <c r="K909" s="10"/>
    </row>
    <row r="910" ht="30.0" customHeight="1">
      <c r="A910" s="54"/>
      <c r="B910" s="52"/>
      <c r="C910" s="55"/>
      <c r="D910" s="56"/>
      <c r="E910" s="54"/>
      <c r="F910" s="57"/>
      <c r="G910" s="58"/>
      <c r="H910" s="10"/>
      <c r="I910" s="10"/>
      <c r="J910" s="10"/>
      <c r="K910" s="10"/>
    </row>
    <row r="911" ht="30.0" customHeight="1">
      <c r="A911" s="54"/>
      <c r="B911" s="52"/>
      <c r="C911" s="55"/>
      <c r="D911" s="56"/>
      <c r="E911" s="54"/>
      <c r="F911" s="57"/>
      <c r="G911" s="58"/>
      <c r="H911" s="10"/>
      <c r="I911" s="10"/>
      <c r="J911" s="10"/>
      <c r="K911" s="10"/>
    </row>
    <row r="912" ht="30.0" customHeight="1">
      <c r="A912" s="54"/>
      <c r="B912" s="52"/>
      <c r="C912" s="55"/>
      <c r="D912" s="56"/>
      <c r="E912" s="54"/>
      <c r="F912" s="57"/>
      <c r="G912" s="58"/>
      <c r="H912" s="10"/>
      <c r="I912" s="10"/>
      <c r="J912" s="10"/>
      <c r="K912" s="10"/>
    </row>
    <row r="913" ht="30.0" customHeight="1">
      <c r="A913" s="54"/>
      <c r="B913" s="52"/>
      <c r="C913" s="55"/>
      <c r="D913" s="56"/>
      <c r="E913" s="54"/>
      <c r="F913" s="57"/>
      <c r="G913" s="58"/>
      <c r="H913" s="10"/>
      <c r="I913" s="10"/>
      <c r="J913" s="10"/>
      <c r="K913" s="10"/>
    </row>
    <row r="914" ht="30.0" customHeight="1">
      <c r="A914" s="54"/>
      <c r="B914" s="52"/>
      <c r="C914" s="55"/>
      <c r="D914" s="56"/>
      <c r="E914" s="54"/>
      <c r="F914" s="57"/>
      <c r="G914" s="58"/>
      <c r="H914" s="10"/>
      <c r="I914" s="10"/>
      <c r="J914" s="10"/>
      <c r="K914" s="10"/>
    </row>
    <row r="915" ht="30.0" customHeight="1">
      <c r="A915" s="54"/>
      <c r="B915" s="52"/>
      <c r="C915" s="55"/>
      <c r="D915" s="56"/>
      <c r="E915" s="54"/>
      <c r="F915" s="57"/>
      <c r="G915" s="58"/>
      <c r="H915" s="10"/>
      <c r="I915" s="10"/>
      <c r="J915" s="10"/>
      <c r="K915" s="10"/>
    </row>
    <row r="916" ht="30.0" customHeight="1">
      <c r="A916" s="54"/>
      <c r="B916" s="52"/>
      <c r="C916" s="55"/>
      <c r="D916" s="56"/>
      <c r="E916" s="54"/>
      <c r="F916" s="57"/>
      <c r="G916" s="58"/>
      <c r="H916" s="10"/>
      <c r="I916" s="10"/>
      <c r="J916" s="10"/>
      <c r="K916" s="10"/>
    </row>
    <row r="917" ht="30.0" customHeight="1">
      <c r="A917" s="54"/>
      <c r="B917" s="52"/>
      <c r="C917" s="55"/>
      <c r="D917" s="56"/>
      <c r="E917" s="54"/>
      <c r="F917" s="57"/>
      <c r="G917" s="58"/>
      <c r="H917" s="10"/>
      <c r="I917" s="10"/>
      <c r="J917" s="10"/>
      <c r="K917" s="10"/>
    </row>
    <row r="918" ht="30.0" customHeight="1">
      <c r="A918" s="54"/>
      <c r="B918" s="52"/>
      <c r="C918" s="55"/>
      <c r="D918" s="56"/>
      <c r="E918" s="54"/>
      <c r="F918" s="57"/>
      <c r="G918" s="58"/>
      <c r="H918" s="10"/>
      <c r="I918" s="10"/>
      <c r="J918" s="10"/>
      <c r="K918" s="10"/>
    </row>
    <row r="919" ht="30.0" customHeight="1">
      <c r="A919" s="54"/>
      <c r="B919" s="52"/>
      <c r="C919" s="55"/>
      <c r="D919" s="56"/>
      <c r="E919" s="54"/>
      <c r="F919" s="57"/>
      <c r="G919" s="58"/>
      <c r="H919" s="10"/>
      <c r="I919" s="10"/>
      <c r="J919" s="10"/>
      <c r="K919" s="10"/>
    </row>
    <row r="920" ht="30.0" customHeight="1">
      <c r="A920" s="54"/>
      <c r="B920" s="52"/>
      <c r="C920" s="55"/>
      <c r="D920" s="56"/>
      <c r="E920" s="54"/>
      <c r="F920" s="57"/>
      <c r="G920" s="58"/>
      <c r="H920" s="10"/>
      <c r="I920" s="10"/>
      <c r="J920" s="10"/>
      <c r="K920" s="10"/>
    </row>
    <row r="921" ht="30.0" customHeight="1">
      <c r="A921" s="54"/>
      <c r="B921" s="52"/>
      <c r="C921" s="55"/>
      <c r="D921" s="56"/>
      <c r="E921" s="54"/>
      <c r="F921" s="57"/>
      <c r="G921" s="58"/>
      <c r="H921" s="10"/>
      <c r="I921" s="10"/>
      <c r="J921" s="10"/>
      <c r="K921" s="10"/>
    </row>
    <row r="922" ht="30.0" customHeight="1">
      <c r="A922" s="54"/>
      <c r="B922" s="52"/>
      <c r="C922" s="55"/>
      <c r="D922" s="56"/>
      <c r="E922" s="54"/>
      <c r="F922" s="57"/>
      <c r="G922" s="58"/>
      <c r="H922" s="10"/>
      <c r="I922" s="10"/>
      <c r="J922" s="10"/>
      <c r="K922" s="10"/>
    </row>
    <row r="923" ht="30.0" customHeight="1">
      <c r="A923" s="54"/>
      <c r="B923" s="52"/>
      <c r="C923" s="55"/>
      <c r="D923" s="56"/>
      <c r="E923" s="54"/>
      <c r="F923" s="57"/>
      <c r="G923" s="58"/>
      <c r="H923" s="10"/>
      <c r="I923" s="10"/>
      <c r="J923" s="10"/>
      <c r="K923" s="10"/>
    </row>
    <row r="924" ht="30.0" customHeight="1">
      <c r="A924" s="54"/>
      <c r="B924" s="52"/>
      <c r="C924" s="55"/>
      <c r="D924" s="56"/>
      <c r="E924" s="54"/>
      <c r="F924" s="57"/>
      <c r="G924" s="58"/>
      <c r="H924" s="10"/>
      <c r="I924" s="10"/>
      <c r="J924" s="10"/>
      <c r="K924" s="10"/>
    </row>
    <row r="925" ht="30.0" customHeight="1">
      <c r="A925" s="54"/>
      <c r="B925" s="52"/>
      <c r="C925" s="55"/>
      <c r="D925" s="56"/>
      <c r="E925" s="54"/>
      <c r="F925" s="57"/>
      <c r="G925" s="58"/>
      <c r="H925" s="10"/>
      <c r="I925" s="10"/>
      <c r="J925" s="10"/>
      <c r="K925" s="10"/>
    </row>
    <row r="926" ht="30.0" customHeight="1">
      <c r="A926" s="54"/>
      <c r="B926" s="52"/>
      <c r="C926" s="55"/>
      <c r="D926" s="56"/>
      <c r="E926" s="54"/>
      <c r="F926" s="57"/>
      <c r="G926" s="58"/>
      <c r="H926" s="10"/>
      <c r="I926" s="10"/>
      <c r="J926" s="10"/>
      <c r="K926" s="10"/>
    </row>
    <row r="927" ht="30.0" customHeight="1">
      <c r="A927" s="54"/>
      <c r="B927" s="52"/>
      <c r="C927" s="55"/>
      <c r="D927" s="56"/>
      <c r="E927" s="54"/>
      <c r="F927" s="57"/>
      <c r="G927" s="58"/>
      <c r="H927" s="10"/>
      <c r="I927" s="10"/>
      <c r="J927" s="10"/>
      <c r="K927" s="10"/>
    </row>
    <row r="928" ht="30.0" customHeight="1">
      <c r="A928" s="54"/>
      <c r="B928" s="52"/>
      <c r="C928" s="55"/>
      <c r="D928" s="56"/>
      <c r="E928" s="54"/>
      <c r="F928" s="57"/>
      <c r="G928" s="58"/>
      <c r="H928" s="10"/>
      <c r="I928" s="10"/>
      <c r="J928" s="10"/>
      <c r="K928" s="10"/>
    </row>
    <row r="929" ht="30.0" customHeight="1">
      <c r="A929" s="54"/>
      <c r="B929" s="52"/>
      <c r="C929" s="55"/>
      <c r="D929" s="56"/>
      <c r="E929" s="54"/>
      <c r="F929" s="57"/>
      <c r="G929" s="58"/>
      <c r="H929" s="10"/>
      <c r="I929" s="10"/>
      <c r="J929" s="10"/>
      <c r="K929" s="10"/>
    </row>
    <row r="930" ht="30.0" customHeight="1">
      <c r="A930" s="54"/>
      <c r="B930" s="52"/>
      <c r="C930" s="55"/>
      <c r="D930" s="56"/>
      <c r="E930" s="54"/>
      <c r="F930" s="57"/>
      <c r="G930" s="58"/>
      <c r="H930" s="10"/>
      <c r="I930" s="10"/>
      <c r="J930" s="10"/>
      <c r="K930" s="10"/>
    </row>
    <row r="931" ht="30.0" customHeight="1">
      <c r="A931" s="54"/>
      <c r="B931" s="52"/>
      <c r="C931" s="55"/>
      <c r="D931" s="56"/>
      <c r="E931" s="54"/>
      <c r="F931" s="57"/>
      <c r="G931" s="58"/>
      <c r="H931" s="10"/>
      <c r="I931" s="10"/>
      <c r="J931" s="10"/>
      <c r="K931" s="10"/>
    </row>
    <row r="932" ht="30.0" customHeight="1">
      <c r="A932" s="54"/>
      <c r="B932" s="52"/>
      <c r="C932" s="55"/>
      <c r="D932" s="56"/>
      <c r="E932" s="54"/>
      <c r="F932" s="57"/>
      <c r="G932" s="58"/>
      <c r="H932" s="10"/>
      <c r="I932" s="10"/>
      <c r="J932" s="10"/>
      <c r="K932" s="10"/>
    </row>
    <row r="933" ht="30.0" customHeight="1">
      <c r="A933" s="54"/>
      <c r="B933" s="52"/>
      <c r="C933" s="55"/>
      <c r="D933" s="56"/>
      <c r="E933" s="54"/>
      <c r="F933" s="57"/>
      <c r="G933" s="58"/>
      <c r="H933" s="10"/>
      <c r="I933" s="10"/>
      <c r="J933" s="10"/>
      <c r="K933" s="10"/>
    </row>
    <row r="934" ht="30.0" customHeight="1">
      <c r="A934" s="54"/>
      <c r="B934" s="52"/>
      <c r="C934" s="55"/>
      <c r="D934" s="56"/>
      <c r="E934" s="54"/>
      <c r="F934" s="57"/>
      <c r="G934" s="58"/>
      <c r="H934" s="10"/>
      <c r="I934" s="10"/>
      <c r="J934" s="10"/>
      <c r="K934" s="10"/>
    </row>
    <row r="935" ht="30.0" customHeight="1">
      <c r="A935" s="54"/>
      <c r="B935" s="52"/>
      <c r="C935" s="55"/>
      <c r="D935" s="56"/>
      <c r="E935" s="54"/>
      <c r="F935" s="57"/>
      <c r="G935" s="58"/>
      <c r="H935" s="10"/>
      <c r="I935" s="10"/>
      <c r="J935" s="10"/>
      <c r="K935" s="10"/>
    </row>
    <row r="936" ht="30.0" customHeight="1">
      <c r="A936" s="54"/>
      <c r="B936" s="52"/>
      <c r="C936" s="55"/>
      <c r="D936" s="56"/>
      <c r="E936" s="54"/>
      <c r="F936" s="57"/>
      <c r="G936" s="58"/>
      <c r="H936" s="10"/>
      <c r="I936" s="10"/>
      <c r="J936" s="10"/>
      <c r="K936" s="10"/>
    </row>
    <row r="937" ht="30.0" customHeight="1">
      <c r="A937" s="54"/>
      <c r="B937" s="52"/>
      <c r="C937" s="55"/>
      <c r="D937" s="56"/>
      <c r="E937" s="54"/>
      <c r="F937" s="57"/>
      <c r="G937" s="58"/>
      <c r="H937" s="10"/>
      <c r="I937" s="10"/>
      <c r="J937" s="10"/>
      <c r="K937" s="10"/>
    </row>
    <row r="938" ht="30.0" customHeight="1">
      <c r="A938" s="54"/>
      <c r="B938" s="52"/>
      <c r="C938" s="55"/>
      <c r="D938" s="56"/>
      <c r="E938" s="54"/>
      <c r="F938" s="57"/>
      <c r="G938" s="58"/>
      <c r="H938" s="10"/>
      <c r="I938" s="10"/>
      <c r="J938" s="10"/>
      <c r="K938" s="10"/>
    </row>
    <row r="939" ht="30.0" customHeight="1">
      <c r="A939" s="54"/>
      <c r="B939" s="52"/>
      <c r="C939" s="55"/>
      <c r="D939" s="56"/>
      <c r="E939" s="54"/>
      <c r="F939" s="57"/>
      <c r="G939" s="58"/>
      <c r="H939" s="10"/>
      <c r="I939" s="10"/>
      <c r="J939" s="10"/>
      <c r="K939" s="10"/>
    </row>
    <row r="940" ht="30.0" customHeight="1">
      <c r="A940" s="54"/>
      <c r="B940" s="52"/>
      <c r="C940" s="55"/>
      <c r="D940" s="56"/>
      <c r="E940" s="54"/>
      <c r="F940" s="57"/>
      <c r="G940" s="58"/>
      <c r="H940" s="10"/>
      <c r="I940" s="10"/>
      <c r="J940" s="10"/>
      <c r="K940" s="10"/>
    </row>
    <row r="941" ht="30.0" customHeight="1">
      <c r="A941" s="54"/>
      <c r="B941" s="52"/>
      <c r="C941" s="55"/>
      <c r="D941" s="56"/>
      <c r="E941" s="54"/>
      <c r="F941" s="57"/>
      <c r="G941" s="58"/>
      <c r="H941" s="10"/>
      <c r="I941" s="10"/>
      <c r="J941" s="10"/>
      <c r="K941" s="10"/>
    </row>
    <row r="942" ht="30.0" customHeight="1">
      <c r="A942" s="54"/>
      <c r="B942" s="52"/>
      <c r="C942" s="55"/>
      <c r="D942" s="56"/>
      <c r="E942" s="54"/>
      <c r="F942" s="57"/>
      <c r="G942" s="58"/>
      <c r="H942" s="10"/>
      <c r="I942" s="10"/>
      <c r="J942" s="10"/>
      <c r="K942" s="10"/>
    </row>
    <row r="943" ht="30.0" customHeight="1">
      <c r="A943" s="54"/>
      <c r="B943" s="52"/>
      <c r="C943" s="55"/>
      <c r="D943" s="56"/>
      <c r="E943" s="54"/>
      <c r="F943" s="57"/>
      <c r="G943" s="58"/>
      <c r="H943" s="10"/>
      <c r="I943" s="10"/>
      <c r="J943" s="10"/>
      <c r="K943" s="10"/>
    </row>
    <row r="944" ht="30.0" customHeight="1">
      <c r="A944" s="54"/>
      <c r="B944" s="52"/>
      <c r="C944" s="55"/>
      <c r="D944" s="56"/>
      <c r="E944" s="54"/>
      <c r="F944" s="57"/>
      <c r="G944" s="58"/>
      <c r="H944" s="10"/>
      <c r="I944" s="10"/>
      <c r="J944" s="10"/>
      <c r="K944" s="10"/>
    </row>
    <row r="945" ht="30.0" customHeight="1">
      <c r="A945" s="54"/>
      <c r="B945" s="52"/>
      <c r="C945" s="55"/>
      <c r="D945" s="56"/>
      <c r="E945" s="54"/>
      <c r="F945" s="57"/>
      <c r="G945" s="58"/>
      <c r="H945" s="10"/>
      <c r="I945" s="10"/>
      <c r="J945" s="10"/>
      <c r="K945" s="10"/>
    </row>
    <row r="946" ht="30.0" customHeight="1">
      <c r="A946" s="54"/>
      <c r="B946" s="52"/>
      <c r="C946" s="55"/>
      <c r="D946" s="56"/>
      <c r="E946" s="54"/>
      <c r="F946" s="57"/>
      <c r="G946" s="58"/>
      <c r="H946" s="10"/>
      <c r="I946" s="10"/>
      <c r="J946" s="10"/>
      <c r="K946" s="10"/>
    </row>
    <row r="947" ht="30.0" customHeight="1">
      <c r="A947" s="54"/>
      <c r="B947" s="52"/>
      <c r="C947" s="55"/>
      <c r="D947" s="56"/>
      <c r="E947" s="54"/>
      <c r="F947" s="57"/>
      <c r="G947" s="58"/>
      <c r="H947" s="10"/>
      <c r="I947" s="10"/>
      <c r="J947" s="10"/>
      <c r="K947" s="10"/>
    </row>
    <row r="948" ht="30.0" customHeight="1">
      <c r="A948" s="54"/>
      <c r="B948" s="52"/>
      <c r="C948" s="55"/>
      <c r="D948" s="56"/>
      <c r="E948" s="54"/>
      <c r="F948" s="57"/>
      <c r="G948" s="58"/>
      <c r="H948" s="10"/>
      <c r="I948" s="10"/>
      <c r="J948" s="10"/>
      <c r="K948" s="10"/>
    </row>
    <row r="949" ht="30.0" customHeight="1">
      <c r="A949" s="54"/>
      <c r="B949" s="52"/>
      <c r="C949" s="55"/>
      <c r="D949" s="56"/>
      <c r="E949" s="54"/>
      <c r="F949" s="57"/>
      <c r="G949" s="58"/>
      <c r="H949" s="10"/>
      <c r="I949" s="10"/>
      <c r="J949" s="10"/>
      <c r="K949" s="10"/>
    </row>
    <row r="950" ht="30.0" customHeight="1">
      <c r="A950" s="54"/>
      <c r="B950" s="52"/>
      <c r="C950" s="55"/>
      <c r="D950" s="56"/>
      <c r="E950" s="54"/>
      <c r="F950" s="57"/>
      <c r="G950" s="58"/>
      <c r="H950" s="10"/>
      <c r="I950" s="10"/>
      <c r="J950" s="10"/>
      <c r="K950" s="10"/>
    </row>
    <row r="951" ht="30.0" customHeight="1">
      <c r="A951" s="54"/>
      <c r="B951" s="52"/>
      <c r="C951" s="55"/>
      <c r="D951" s="56"/>
      <c r="E951" s="54"/>
      <c r="F951" s="57"/>
      <c r="G951" s="58"/>
      <c r="H951" s="10"/>
      <c r="I951" s="10"/>
      <c r="J951" s="10"/>
      <c r="K951" s="10"/>
    </row>
    <row r="952" ht="30.0" customHeight="1">
      <c r="A952" s="54"/>
      <c r="B952" s="52"/>
      <c r="C952" s="55"/>
      <c r="D952" s="56"/>
      <c r="E952" s="54"/>
      <c r="F952" s="57"/>
      <c r="G952" s="58"/>
      <c r="H952" s="10"/>
      <c r="I952" s="10"/>
      <c r="J952" s="10"/>
      <c r="K952" s="10"/>
    </row>
    <row r="953" ht="30.0" customHeight="1">
      <c r="A953" s="54"/>
      <c r="B953" s="52"/>
      <c r="C953" s="55"/>
      <c r="D953" s="56"/>
      <c r="E953" s="54"/>
      <c r="F953" s="57"/>
      <c r="G953" s="58"/>
      <c r="H953" s="10"/>
      <c r="I953" s="10"/>
      <c r="J953" s="10"/>
      <c r="K953" s="10"/>
    </row>
    <row r="954" ht="30.0" customHeight="1">
      <c r="A954" s="54"/>
      <c r="B954" s="52"/>
      <c r="C954" s="55"/>
      <c r="D954" s="56"/>
      <c r="E954" s="54"/>
      <c r="F954" s="57"/>
      <c r="G954" s="58"/>
      <c r="H954" s="10"/>
      <c r="I954" s="10"/>
      <c r="J954" s="10"/>
      <c r="K954" s="10"/>
    </row>
    <row r="955" ht="30.0" customHeight="1">
      <c r="A955" s="54"/>
      <c r="B955" s="52"/>
      <c r="C955" s="55"/>
      <c r="D955" s="56"/>
      <c r="E955" s="54"/>
      <c r="F955" s="57"/>
      <c r="G955" s="58"/>
      <c r="H955" s="10"/>
      <c r="I955" s="10"/>
      <c r="J955" s="10"/>
      <c r="K955" s="10"/>
    </row>
    <row r="956" ht="30.0" customHeight="1">
      <c r="A956" s="54"/>
      <c r="B956" s="52"/>
      <c r="C956" s="55"/>
      <c r="D956" s="56"/>
      <c r="E956" s="54"/>
      <c r="F956" s="57"/>
      <c r="G956" s="58"/>
      <c r="H956" s="10"/>
      <c r="I956" s="10"/>
      <c r="J956" s="10"/>
      <c r="K956" s="10"/>
    </row>
    <row r="957" ht="30.0" customHeight="1">
      <c r="A957" s="54"/>
      <c r="B957" s="52"/>
      <c r="C957" s="55"/>
      <c r="D957" s="56"/>
      <c r="E957" s="54"/>
      <c r="F957" s="57"/>
      <c r="G957" s="58"/>
      <c r="H957" s="10"/>
      <c r="I957" s="10"/>
      <c r="J957" s="10"/>
      <c r="K957" s="10"/>
    </row>
    <row r="958" ht="30.0" customHeight="1">
      <c r="A958" s="54"/>
      <c r="B958" s="52"/>
      <c r="C958" s="55"/>
      <c r="D958" s="56"/>
      <c r="E958" s="54"/>
      <c r="F958" s="57"/>
      <c r="G958" s="58"/>
      <c r="H958" s="10"/>
      <c r="I958" s="10"/>
      <c r="J958" s="10"/>
      <c r="K958" s="10"/>
    </row>
    <row r="959" ht="30.0" customHeight="1">
      <c r="A959" s="54"/>
      <c r="B959" s="52"/>
      <c r="C959" s="55"/>
      <c r="D959" s="56"/>
      <c r="E959" s="54"/>
      <c r="F959" s="57"/>
      <c r="G959" s="58"/>
      <c r="H959" s="10"/>
      <c r="I959" s="10"/>
      <c r="J959" s="10"/>
      <c r="K959" s="10"/>
    </row>
    <row r="960" ht="30.0" customHeight="1">
      <c r="A960" s="54"/>
      <c r="B960" s="52"/>
      <c r="C960" s="55"/>
      <c r="D960" s="56"/>
      <c r="E960" s="54"/>
      <c r="F960" s="57"/>
      <c r="G960" s="58"/>
      <c r="H960" s="10"/>
      <c r="I960" s="10"/>
      <c r="J960" s="10"/>
      <c r="K960" s="10"/>
    </row>
    <row r="961" ht="30.0" customHeight="1">
      <c r="A961" s="54"/>
      <c r="B961" s="52"/>
      <c r="C961" s="55"/>
      <c r="D961" s="56"/>
      <c r="E961" s="54"/>
      <c r="F961" s="57"/>
      <c r="G961" s="58"/>
      <c r="H961" s="10"/>
      <c r="I961" s="10"/>
      <c r="J961" s="10"/>
      <c r="K961" s="10"/>
    </row>
    <row r="962" ht="30.0" customHeight="1">
      <c r="A962" s="54"/>
      <c r="B962" s="52"/>
      <c r="C962" s="55"/>
      <c r="D962" s="56"/>
      <c r="E962" s="54"/>
      <c r="F962" s="57"/>
      <c r="G962" s="58"/>
      <c r="H962" s="10"/>
      <c r="I962" s="10"/>
      <c r="J962" s="10"/>
      <c r="K962" s="10"/>
    </row>
    <row r="963" ht="30.0" customHeight="1">
      <c r="A963" s="54"/>
      <c r="B963" s="52"/>
      <c r="C963" s="55"/>
      <c r="D963" s="56"/>
      <c r="E963" s="54"/>
      <c r="F963" s="57"/>
      <c r="G963" s="58"/>
      <c r="H963" s="10"/>
      <c r="I963" s="10"/>
      <c r="J963" s="10"/>
      <c r="K963" s="10"/>
    </row>
    <row r="964" ht="30.0" customHeight="1">
      <c r="A964" s="54"/>
      <c r="B964" s="52"/>
      <c r="C964" s="55"/>
      <c r="D964" s="56"/>
      <c r="E964" s="54"/>
      <c r="F964" s="57"/>
      <c r="G964" s="58"/>
      <c r="H964" s="10"/>
      <c r="I964" s="10"/>
      <c r="J964" s="10"/>
      <c r="K964" s="10"/>
    </row>
    <row r="965" ht="30.0" customHeight="1">
      <c r="A965" s="54"/>
      <c r="B965" s="52"/>
      <c r="C965" s="55"/>
      <c r="D965" s="56"/>
      <c r="E965" s="54"/>
      <c r="F965" s="57"/>
      <c r="G965" s="58"/>
      <c r="H965" s="10"/>
      <c r="I965" s="10"/>
      <c r="J965" s="10"/>
      <c r="K965" s="10"/>
    </row>
    <row r="966" ht="30.0" customHeight="1">
      <c r="A966" s="54"/>
      <c r="B966" s="52"/>
      <c r="C966" s="55"/>
      <c r="D966" s="56"/>
      <c r="E966" s="54"/>
      <c r="F966" s="57"/>
      <c r="G966" s="58"/>
      <c r="H966" s="10"/>
      <c r="I966" s="10"/>
      <c r="J966" s="10"/>
      <c r="K966" s="10"/>
    </row>
    <row r="967" ht="30.0" customHeight="1">
      <c r="A967" s="54"/>
      <c r="B967" s="52"/>
      <c r="C967" s="55"/>
      <c r="D967" s="56"/>
      <c r="E967" s="54"/>
      <c r="F967" s="57"/>
      <c r="G967" s="58"/>
      <c r="H967" s="10"/>
      <c r="I967" s="10"/>
      <c r="J967" s="10"/>
      <c r="K967" s="10"/>
    </row>
    <row r="968" ht="30.0" customHeight="1">
      <c r="A968" s="54"/>
      <c r="B968" s="52"/>
      <c r="C968" s="55"/>
      <c r="D968" s="56"/>
      <c r="E968" s="54"/>
      <c r="F968" s="57"/>
      <c r="G968" s="58"/>
      <c r="H968" s="10"/>
      <c r="I968" s="10"/>
      <c r="J968" s="10"/>
      <c r="K968" s="10"/>
    </row>
    <row r="969" ht="30.0" customHeight="1">
      <c r="A969" s="54"/>
      <c r="B969" s="52"/>
      <c r="C969" s="55"/>
      <c r="D969" s="56"/>
      <c r="E969" s="54"/>
      <c r="F969" s="57"/>
      <c r="G969" s="58"/>
      <c r="H969" s="10"/>
      <c r="I969" s="10"/>
      <c r="J969" s="10"/>
      <c r="K969" s="10"/>
    </row>
    <row r="970" ht="30.0" customHeight="1">
      <c r="A970" s="54"/>
      <c r="B970" s="52"/>
      <c r="C970" s="55"/>
      <c r="D970" s="56"/>
      <c r="E970" s="54"/>
      <c r="F970" s="57"/>
      <c r="G970" s="58"/>
      <c r="H970" s="10"/>
      <c r="I970" s="10"/>
      <c r="J970" s="10"/>
      <c r="K970" s="10"/>
    </row>
    <row r="971" ht="30.0" customHeight="1">
      <c r="A971" s="54"/>
      <c r="B971" s="52"/>
      <c r="C971" s="55"/>
      <c r="D971" s="56"/>
      <c r="E971" s="54"/>
      <c r="F971" s="57"/>
      <c r="G971" s="58"/>
      <c r="H971" s="10"/>
      <c r="I971" s="10"/>
      <c r="J971" s="10"/>
      <c r="K971" s="10"/>
    </row>
    <row r="972" ht="30.0" customHeight="1">
      <c r="A972" s="54"/>
      <c r="B972" s="52"/>
      <c r="C972" s="55"/>
      <c r="D972" s="56"/>
      <c r="E972" s="54"/>
      <c r="F972" s="57"/>
      <c r="G972" s="58"/>
      <c r="H972" s="10"/>
      <c r="I972" s="10"/>
      <c r="J972" s="10"/>
      <c r="K972" s="10"/>
    </row>
    <row r="973" ht="30.0" customHeight="1">
      <c r="A973" s="54"/>
      <c r="B973" s="52"/>
      <c r="C973" s="55"/>
      <c r="D973" s="56"/>
      <c r="E973" s="54"/>
      <c r="F973" s="57"/>
      <c r="G973" s="58"/>
      <c r="H973" s="10"/>
      <c r="I973" s="10"/>
      <c r="J973" s="10"/>
      <c r="K973" s="10"/>
    </row>
    <row r="974" ht="30.0" customHeight="1">
      <c r="A974" s="54"/>
      <c r="B974" s="52"/>
      <c r="C974" s="55"/>
      <c r="D974" s="56"/>
      <c r="E974" s="54"/>
      <c r="F974" s="57"/>
      <c r="G974" s="58"/>
      <c r="H974" s="10"/>
      <c r="I974" s="10"/>
      <c r="J974" s="10"/>
      <c r="K974" s="10"/>
    </row>
    <row r="975" ht="30.0" customHeight="1">
      <c r="A975" s="54"/>
      <c r="B975" s="52"/>
      <c r="C975" s="55"/>
      <c r="D975" s="56"/>
      <c r="E975" s="54"/>
      <c r="F975" s="57"/>
      <c r="G975" s="58"/>
      <c r="H975" s="10"/>
      <c r="I975" s="10"/>
      <c r="J975" s="10"/>
      <c r="K975" s="10"/>
    </row>
    <row r="976" ht="30.0" customHeight="1">
      <c r="A976" s="54"/>
      <c r="B976" s="52"/>
      <c r="C976" s="55"/>
      <c r="D976" s="56"/>
      <c r="E976" s="54"/>
      <c r="F976" s="57"/>
      <c r="G976" s="58"/>
      <c r="H976" s="10"/>
      <c r="I976" s="10"/>
      <c r="J976" s="10"/>
      <c r="K976" s="10"/>
    </row>
    <row r="977" ht="30.0" customHeight="1">
      <c r="A977" s="54"/>
      <c r="B977" s="52"/>
      <c r="C977" s="55"/>
      <c r="D977" s="56"/>
      <c r="E977" s="54"/>
      <c r="F977" s="57"/>
      <c r="G977" s="58"/>
      <c r="H977" s="10"/>
      <c r="I977" s="10"/>
      <c r="J977" s="10"/>
      <c r="K977" s="10"/>
    </row>
    <row r="978" ht="30.0" customHeight="1">
      <c r="A978" s="54"/>
      <c r="B978" s="52"/>
      <c r="C978" s="55"/>
      <c r="D978" s="56"/>
      <c r="E978" s="54"/>
      <c r="F978" s="57"/>
      <c r="G978" s="58"/>
      <c r="H978" s="10"/>
      <c r="I978" s="10"/>
      <c r="J978" s="10"/>
      <c r="K978" s="10"/>
    </row>
    <row r="979" ht="30.0" customHeight="1">
      <c r="A979" s="54"/>
      <c r="B979" s="52"/>
      <c r="C979" s="55"/>
      <c r="D979" s="56"/>
      <c r="E979" s="54"/>
      <c r="F979" s="57"/>
      <c r="G979" s="58"/>
      <c r="H979" s="10"/>
      <c r="I979" s="10"/>
      <c r="J979" s="10"/>
      <c r="K979" s="10"/>
    </row>
    <row r="980" ht="30.0" customHeight="1">
      <c r="A980" s="54"/>
      <c r="B980" s="52"/>
      <c r="C980" s="55"/>
      <c r="D980" s="56"/>
      <c r="E980" s="54"/>
      <c r="F980" s="57"/>
      <c r="G980" s="58"/>
      <c r="H980" s="10"/>
      <c r="I980" s="10"/>
      <c r="J980" s="10"/>
      <c r="K980" s="10"/>
    </row>
    <row r="981" ht="30.0" customHeight="1">
      <c r="A981" s="54"/>
      <c r="B981" s="52"/>
      <c r="C981" s="55"/>
      <c r="D981" s="56"/>
      <c r="E981" s="54"/>
      <c r="F981" s="57"/>
      <c r="G981" s="58"/>
      <c r="H981" s="10"/>
      <c r="I981" s="10"/>
      <c r="J981" s="10"/>
      <c r="K981" s="10"/>
    </row>
    <row r="982" ht="30.0" customHeight="1">
      <c r="A982" s="54"/>
      <c r="B982" s="52"/>
      <c r="C982" s="55"/>
      <c r="D982" s="56"/>
      <c r="E982" s="54"/>
      <c r="F982" s="57"/>
      <c r="G982" s="58"/>
      <c r="H982" s="10"/>
      <c r="I982" s="10"/>
      <c r="J982" s="10"/>
      <c r="K982" s="10"/>
    </row>
    <row r="983" ht="30.0" customHeight="1">
      <c r="A983" s="54"/>
      <c r="B983" s="52"/>
      <c r="C983" s="55"/>
      <c r="D983" s="56"/>
      <c r="E983" s="54"/>
      <c r="F983" s="57"/>
      <c r="G983" s="58"/>
      <c r="H983" s="10"/>
      <c r="I983" s="10"/>
      <c r="J983" s="10"/>
      <c r="K983" s="10"/>
    </row>
    <row r="984" ht="30.0" customHeight="1">
      <c r="A984" s="54"/>
      <c r="B984" s="52"/>
      <c r="C984" s="55"/>
      <c r="D984" s="56"/>
      <c r="E984" s="54"/>
      <c r="F984" s="57"/>
      <c r="G984" s="58"/>
      <c r="H984" s="10"/>
      <c r="I984" s="10"/>
      <c r="J984" s="10"/>
      <c r="K984" s="10"/>
    </row>
    <row r="985" ht="30.0" customHeight="1">
      <c r="A985" s="54"/>
      <c r="B985" s="52"/>
      <c r="C985" s="55"/>
      <c r="D985" s="56"/>
      <c r="E985" s="54"/>
      <c r="F985" s="57"/>
      <c r="G985" s="58"/>
      <c r="H985" s="10"/>
      <c r="I985" s="10"/>
      <c r="J985" s="10"/>
      <c r="K985" s="10"/>
    </row>
    <row r="986" ht="30.0" customHeight="1">
      <c r="A986" s="54"/>
      <c r="B986" s="52"/>
      <c r="C986" s="55"/>
      <c r="D986" s="56"/>
      <c r="E986" s="54"/>
      <c r="F986" s="57"/>
      <c r="G986" s="58"/>
      <c r="H986" s="10"/>
      <c r="I986" s="10"/>
      <c r="J986" s="10"/>
      <c r="K986" s="10"/>
    </row>
    <row r="987" ht="30.0" customHeight="1">
      <c r="A987" s="54"/>
      <c r="B987" s="52"/>
      <c r="C987" s="55"/>
      <c r="D987" s="56"/>
      <c r="E987" s="54"/>
      <c r="F987" s="57"/>
      <c r="G987" s="58"/>
      <c r="H987" s="10"/>
      <c r="I987" s="10"/>
      <c r="J987" s="10"/>
      <c r="K987" s="10"/>
    </row>
    <row r="988" ht="30.0" customHeight="1">
      <c r="A988" s="54"/>
      <c r="B988" s="52"/>
      <c r="C988" s="55"/>
      <c r="D988" s="56"/>
      <c r="E988" s="54"/>
      <c r="F988" s="57"/>
      <c r="G988" s="58"/>
      <c r="H988" s="10"/>
      <c r="I988" s="10"/>
      <c r="J988" s="10"/>
      <c r="K988" s="10"/>
    </row>
    <row r="989" ht="30.0" customHeight="1">
      <c r="A989" s="54"/>
      <c r="B989" s="52"/>
      <c r="C989" s="55"/>
      <c r="D989" s="56"/>
      <c r="E989" s="54"/>
      <c r="F989" s="57"/>
      <c r="G989" s="58"/>
      <c r="H989" s="10"/>
      <c r="I989" s="10"/>
      <c r="J989" s="10"/>
      <c r="K989" s="10"/>
    </row>
    <row r="990" ht="30.0" customHeight="1">
      <c r="A990" s="54"/>
      <c r="B990" s="52"/>
      <c r="C990" s="55"/>
      <c r="D990" s="56"/>
      <c r="E990" s="54"/>
      <c r="F990" s="57"/>
      <c r="G990" s="58"/>
      <c r="H990" s="10"/>
      <c r="I990" s="10"/>
      <c r="J990" s="10"/>
      <c r="K990" s="10"/>
    </row>
    <row r="991" ht="30.0" customHeight="1">
      <c r="A991" s="54"/>
      <c r="B991" s="52"/>
      <c r="C991" s="55"/>
      <c r="D991" s="56"/>
      <c r="E991" s="54"/>
      <c r="F991" s="57"/>
      <c r="G991" s="58"/>
      <c r="H991" s="10"/>
      <c r="I991" s="10"/>
      <c r="J991" s="10"/>
      <c r="K991" s="10"/>
    </row>
    <row r="992" ht="30.0" customHeight="1">
      <c r="A992" s="54"/>
      <c r="B992" s="52"/>
      <c r="C992" s="55"/>
      <c r="D992" s="56"/>
      <c r="E992" s="54"/>
      <c r="F992" s="57"/>
      <c r="G992" s="58"/>
      <c r="H992" s="10"/>
      <c r="I992" s="10"/>
      <c r="J992" s="10"/>
      <c r="K992" s="10"/>
    </row>
    <row r="993" ht="30.0" customHeight="1">
      <c r="A993" s="54"/>
      <c r="B993" s="52"/>
      <c r="C993" s="55"/>
      <c r="D993" s="56"/>
      <c r="E993" s="54"/>
      <c r="F993" s="57"/>
      <c r="G993" s="58"/>
      <c r="H993" s="10"/>
      <c r="I993" s="10"/>
      <c r="J993" s="10"/>
      <c r="K993" s="10"/>
    </row>
    <row r="994" ht="30.0" customHeight="1">
      <c r="A994" s="54"/>
      <c r="B994" s="52"/>
      <c r="C994" s="55"/>
      <c r="D994" s="56"/>
      <c r="E994" s="54"/>
      <c r="F994" s="57"/>
      <c r="G994" s="58"/>
      <c r="H994" s="10"/>
      <c r="I994" s="10"/>
      <c r="J994" s="10"/>
      <c r="K994" s="10"/>
    </row>
    <row r="995" ht="30.0" customHeight="1">
      <c r="A995" s="54"/>
      <c r="B995" s="52"/>
      <c r="C995" s="55"/>
      <c r="D995" s="56"/>
      <c r="E995" s="54"/>
      <c r="F995" s="57"/>
      <c r="G995" s="58"/>
      <c r="H995" s="10"/>
      <c r="I995" s="10"/>
      <c r="J995" s="10"/>
      <c r="K995" s="10"/>
    </row>
    <row r="996" ht="30.0" customHeight="1">
      <c r="A996" s="54"/>
      <c r="B996" s="52"/>
      <c r="C996" s="55"/>
      <c r="D996" s="56"/>
      <c r="E996" s="54"/>
      <c r="F996" s="57"/>
      <c r="G996" s="58"/>
      <c r="H996" s="10"/>
      <c r="I996" s="10"/>
      <c r="J996" s="10"/>
      <c r="K996" s="10"/>
    </row>
    <row r="997" ht="30.0" customHeight="1">
      <c r="A997" s="54"/>
      <c r="B997" s="52"/>
      <c r="C997" s="55"/>
      <c r="D997" s="56"/>
      <c r="E997" s="54"/>
      <c r="F997" s="57"/>
      <c r="G997" s="58"/>
      <c r="H997" s="10"/>
      <c r="I997" s="10"/>
      <c r="J997" s="10"/>
      <c r="K997" s="10"/>
    </row>
    <row r="998" ht="30.0" customHeight="1">
      <c r="A998" s="54"/>
      <c r="B998" s="52"/>
      <c r="C998" s="55"/>
      <c r="D998" s="56"/>
      <c r="E998" s="54"/>
      <c r="F998" s="57"/>
      <c r="G998" s="58"/>
      <c r="H998" s="10"/>
      <c r="I998" s="10"/>
      <c r="J998" s="10"/>
      <c r="K998" s="10"/>
    </row>
    <row r="999" ht="30.0" customHeight="1">
      <c r="A999" s="54"/>
      <c r="B999" s="52"/>
      <c r="C999" s="55"/>
      <c r="D999" s="56"/>
      <c r="E999" s="54"/>
      <c r="F999" s="57"/>
      <c r="G999" s="58"/>
      <c r="H999" s="10"/>
      <c r="I999" s="10"/>
      <c r="J999" s="10"/>
      <c r="K999" s="10"/>
    </row>
    <row r="1000" ht="30.0" customHeight="1">
      <c r="A1000" s="54"/>
      <c r="B1000" s="52"/>
      <c r="C1000" s="55"/>
      <c r="D1000" s="56"/>
      <c r="E1000" s="54"/>
      <c r="F1000" s="57"/>
      <c r="G1000" s="58"/>
      <c r="H1000" s="10"/>
      <c r="I1000" s="10"/>
      <c r="J1000" s="10"/>
      <c r="K1000" s="10"/>
    </row>
    <row r="1001" ht="30.0" customHeight="1">
      <c r="A1001" s="54"/>
      <c r="B1001" s="52"/>
      <c r="C1001" s="55"/>
      <c r="D1001" s="56"/>
      <c r="E1001" s="54"/>
      <c r="F1001" s="57"/>
      <c r="G1001" s="58"/>
      <c r="H1001" s="10"/>
      <c r="I1001" s="10"/>
      <c r="J1001" s="10"/>
      <c r="K1001" s="10"/>
    </row>
    <row r="1002" ht="30.0" customHeight="1">
      <c r="A1002" s="54"/>
      <c r="B1002" s="52"/>
      <c r="C1002" s="55"/>
      <c r="D1002" s="56"/>
      <c r="E1002" s="54"/>
      <c r="F1002" s="57"/>
      <c r="G1002" s="58"/>
      <c r="H1002" s="10"/>
      <c r="I1002" s="10"/>
      <c r="J1002" s="10"/>
      <c r="K1002" s="10"/>
    </row>
    <row r="1003" ht="30.0" customHeight="1">
      <c r="A1003" s="54"/>
      <c r="B1003" s="52"/>
      <c r="C1003" s="55"/>
      <c r="D1003" s="56"/>
      <c r="E1003" s="54"/>
      <c r="F1003" s="57"/>
      <c r="G1003" s="58"/>
      <c r="H1003" s="10"/>
      <c r="I1003" s="10"/>
      <c r="J1003" s="10"/>
      <c r="K1003" s="10"/>
    </row>
    <row r="1004" ht="30.0" customHeight="1">
      <c r="A1004" s="54"/>
      <c r="B1004" s="52"/>
      <c r="C1004" s="55"/>
      <c r="D1004" s="56"/>
      <c r="E1004" s="54"/>
      <c r="F1004" s="57"/>
      <c r="G1004" s="58"/>
      <c r="H1004" s="10"/>
      <c r="I1004" s="10"/>
      <c r="J1004" s="10"/>
      <c r="K1004" s="10"/>
    </row>
    <row r="1005" ht="30.0" customHeight="1">
      <c r="A1005" s="54"/>
      <c r="B1005" s="52"/>
      <c r="C1005" s="55"/>
      <c r="D1005" s="56"/>
      <c r="E1005" s="54"/>
      <c r="F1005" s="57"/>
      <c r="G1005" s="58"/>
      <c r="H1005" s="10"/>
      <c r="I1005" s="10"/>
      <c r="J1005" s="10"/>
      <c r="K1005" s="10"/>
    </row>
    <row r="1006" ht="30.0" customHeight="1">
      <c r="A1006" s="54"/>
      <c r="B1006" s="52"/>
      <c r="C1006" s="55"/>
      <c r="D1006" s="56"/>
      <c r="E1006" s="54"/>
      <c r="F1006" s="57"/>
      <c r="G1006" s="58"/>
      <c r="H1006" s="10"/>
      <c r="I1006" s="10"/>
      <c r="J1006" s="10"/>
      <c r="K1006" s="10"/>
    </row>
    <row r="1007" ht="30.0" customHeight="1">
      <c r="A1007" s="54"/>
      <c r="B1007" s="52"/>
      <c r="C1007" s="55"/>
      <c r="D1007" s="56"/>
      <c r="E1007" s="54"/>
      <c r="F1007" s="57"/>
      <c r="G1007" s="58"/>
      <c r="H1007" s="10"/>
      <c r="I1007" s="10"/>
      <c r="J1007" s="10"/>
      <c r="K1007" s="10"/>
    </row>
    <row r="1008" ht="30.0" customHeight="1">
      <c r="A1008" s="54"/>
      <c r="B1008" s="52"/>
      <c r="C1008" s="55"/>
      <c r="D1008" s="56"/>
      <c r="E1008" s="54"/>
      <c r="F1008" s="57"/>
      <c r="G1008" s="58"/>
      <c r="H1008" s="10"/>
      <c r="I1008" s="10"/>
      <c r="J1008" s="10"/>
      <c r="K1008" s="10"/>
    </row>
    <row r="1009" ht="30.0" customHeight="1">
      <c r="A1009" s="54"/>
      <c r="B1009" s="52"/>
      <c r="C1009" s="55"/>
      <c r="D1009" s="56"/>
      <c r="E1009" s="54"/>
      <c r="F1009" s="57"/>
      <c r="G1009" s="58"/>
      <c r="H1009" s="10"/>
      <c r="I1009" s="10"/>
      <c r="J1009" s="10"/>
      <c r="K1009" s="10"/>
    </row>
    <row r="1010" ht="30.0" customHeight="1">
      <c r="A1010" s="54"/>
      <c r="B1010" s="52"/>
      <c r="C1010" s="55"/>
      <c r="D1010" s="56"/>
      <c r="E1010" s="54"/>
      <c r="F1010" s="57"/>
      <c r="G1010" s="58"/>
      <c r="H1010" s="10"/>
      <c r="I1010" s="10"/>
      <c r="J1010" s="10"/>
      <c r="K1010" s="10"/>
    </row>
    <row r="1011" ht="30.0" customHeight="1">
      <c r="A1011" s="54"/>
      <c r="B1011" s="52"/>
      <c r="C1011" s="55"/>
      <c r="D1011" s="56"/>
      <c r="E1011" s="54"/>
      <c r="F1011" s="57"/>
      <c r="G1011" s="58"/>
      <c r="H1011" s="10"/>
      <c r="I1011" s="10"/>
      <c r="J1011" s="10"/>
      <c r="K1011" s="10"/>
    </row>
    <row r="1012" ht="30.0" customHeight="1">
      <c r="A1012" s="54"/>
      <c r="B1012" s="52"/>
      <c r="C1012" s="55"/>
      <c r="D1012" s="56"/>
      <c r="E1012" s="54"/>
      <c r="F1012" s="57"/>
      <c r="G1012" s="58"/>
      <c r="H1012" s="10"/>
      <c r="I1012" s="10"/>
      <c r="J1012" s="10"/>
      <c r="K1012" s="10"/>
    </row>
    <row r="1013" ht="30.0" customHeight="1">
      <c r="A1013" s="54"/>
      <c r="B1013" s="52"/>
      <c r="C1013" s="55"/>
      <c r="D1013" s="56"/>
      <c r="E1013" s="54"/>
      <c r="F1013" s="57"/>
      <c r="G1013" s="58"/>
      <c r="H1013" s="10"/>
      <c r="I1013" s="10"/>
      <c r="J1013" s="10"/>
      <c r="K1013" s="10"/>
    </row>
    <row r="1014" ht="30.0" customHeight="1">
      <c r="A1014" s="54"/>
      <c r="B1014" s="52"/>
      <c r="C1014" s="55"/>
      <c r="D1014" s="56"/>
      <c r="E1014" s="54"/>
      <c r="F1014" s="57"/>
      <c r="G1014" s="58"/>
      <c r="H1014" s="10"/>
      <c r="I1014" s="10"/>
      <c r="J1014" s="10"/>
      <c r="K1014" s="10"/>
    </row>
    <row r="1015" ht="30.0" customHeight="1">
      <c r="A1015" s="54"/>
      <c r="B1015" s="52"/>
      <c r="C1015" s="55"/>
      <c r="D1015" s="56"/>
      <c r="E1015" s="54"/>
      <c r="F1015" s="57"/>
      <c r="G1015" s="58"/>
      <c r="H1015" s="10"/>
      <c r="I1015" s="10"/>
      <c r="J1015" s="10"/>
      <c r="K1015" s="10"/>
    </row>
    <row r="1016" ht="30.0" customHeight="1">
      <c r="A1016" s="54"/>
      <c r="B1016" s="52"/>
      <c r="C1016" s="55"/>
      <c r="D1016" s="56"/>
      <c r="E1016" s="54"/>
      <c r="F1016" s="57"/>
      <c r="G1016" s="58"/>
      <c r="H1016" s="10"/>
      <c r="I1016" s="10"/>
      <c r="J1016" s="10"/>
      <c r="K1016" s="10"/>
    </row>
    <row r="1017" ht="30.0" customHeight="1">
      <c r="A1017" s="54"/>
      <c r="B1017" s="52"/>
      <c r="C1017" s="55"/>
      <c r="D1017" s="56"/>
      <c r="E1017" s="54"/>
      <c r="F1017" s="57"/>
      <c r="G1017" s="58"/>
      <c r="H1017" s="10"/>
      <c r="I1017" s="10"/>
      <c r="J1017" s="10"/>
      <c r="K1017" s="10"/>
    </row>
    <row r="1018" ht="30.0" customHeight="1">
      <c r="A1018" s="54"/>
      <c r="B1018" s="52"/>
      <c r="C1018" s="55"/>
      <c r="D1018" s="56"/>
      <c r="E1018" s="54"/>
      <c r="F1018" s="57"/>
      <c r="G1018" s="58"/>
      <c r="H1018" s="10"/>
      <c r="I1018" s="10"/>
      <c r="J1018" s="10"/>
      <c r="K1018" s="10"/>
    </row>
    <row r="1019" ht="30.0" customHeight="1">
      <c r="A1019" s="54"/>
      <c r="B1019" s="52"/>
      <c r="C1019" s="55"/>
      <c r="D1019" s="56"/>
      <c r="E1019" s="54"/>
      <c r="F1019" s="57"/>
      <c r="G1019" s="58"/>
      <c r="H1019" s="10"/>
      <c r="I1019" s="10"/>
      <c r="J1019" s="10"/>
      <c r="K1019" s="10"/>
    </row>
    <row r="1020" ht="30.0" customHeight="1">
      <c r="A1020" s="54"/>
      <c r="B1020" s="52"/>
      <c r="C1020" s="55"/>
      <c r="D1020" s="56"/>
      <c r="E1020" s="54"/>
      <c r="F1020" s="57"/>
      <c r="G1020" s="58"/>
      <c r="H1020" s="10"/>
      <c r="I1020" s="10"/>
      <c r="J1020" s="10"/>
      <c r="K1020" s="10"/>
    </row>
    <row r="1021" ht="30.0" customHeight="1">
      <c r="A1021" s="54"/>
      <c r="B1021" s="52"/>
      <c r="C1021" s="55"/>
      <c r="D1021" s="56"/>
      <c r="E1021" s="54"/>
      <c r="F1021" s="57"/>
      <c r="G1021" s="58"/>
      <c r="H1021" s="10"/>
      <c r="I1021" s="10"/>
      <c r="J1021" s="10"/>
      <c r="K1021" s="10"/>
    </row>
    <row r="1022" ht="30.0" customHeight="1">
      <c r="A1022" s="54"/>
      <c r="B1022" s="52"/>
      <c r="C1022" s="55"/>
      <c r="D1022" s="56"/>
      <c r="E1022" s="54"/>
      <c r="F1022" s="57"/>
      <c r="G1022" s="58"/>
      <c r="H1022" s="10"/>
      <c r="I1022" s="10"/>
      <c r="J1022" s="10"/>
      <c r="K1022" s="10"/>
    </row>
    <row r="1023" ht="30.0" customHeight="1">
      <c r="A1023" s="54"/>
      <c r="B1023" s="52"/>
      <c r="C1023" s="55"/>
      <c r="D1023" s="56"/>
      <c r="E1023" s="54"/>
      <c r="F1023" s="57"/>
      <c r="G1023" s="58"/>
      <c r="H1023" s="10"/>
      <c r="I1023" s="10"/>
      <c r="J1023" s="10"/>
      <c r="K1023" s="10"/>
    </row>
    <row r="1024" ht="30.0" customHeight="1">
      <c r="A1024" s="54"/>
      <c r="B1024" s="52"/>
      <c r="C1024" s="55"/>
      <c r="D1024" s="56"/>
      <c r="E1024" s="54"/>
      <c r="F1024" s="57"/>
      <c r="G1024" s="58"/>
      <c r="H1024" s="10"/>
      <c r="I1024" s="10"/>
      <c r="J1024" s="10"/>
      <c r="K1024" s="10"/>
    </row>
    <row r="1025" ht="30.0" customHeight="1">
      <c r="A1025" s="54"/>
      <c r="B1025" s="52"/>
      <c r="C1025" s="55"/>
      <c r="D1025" s="56"/>
      <c r="E1025" s="54"/>
      <c r="F1025" s="57"/>
      <c r="G1025" s="58"/>
      <c r="H1025" s="10"/>
      <c r="I1025" s="10"/>
      <c r="J1025" s="10"/>
      <c r="K1025" s="10"/>
    </row>
    <row r="1026" ht="30.0" customHeight="1">
      <c r="A1026" s="54"/>
      <c r="B1026" s="52"/>
      <c r="C1026" s="55"/>
      <c r="D1026" s="56"/>
      <c r="E1026" s="54"/>
      <c r="F1026" s="57"/>
      <c r="G1026" s="58"/>
      <c r="H1026" s="10"/>
      <c r="I1026" s="10"/>
      <c r="J1026" s="10"/>
      <c r="K1026" s="10"/>
    </row>
    <row r="1027" ht="30.0" customHeight="1">
      <c r="A1027" s="54"/>
      <c r="B1027" s="52"/>
      <c r="C1027" s="55"/>
      <c r="D1027" s="56"/>
      <c r="E1027" s="54"/>
      <c r="F1027" s="57"/>
      <c r="G1027" s="58"/>
      <c r="H1027" s="10"/>
      <c r="I1027" s="10"/>
      <c r="J1027" s="10"/>
      <c r="K1027" s="10"/>
    </row>
    <row r="1028" ht="30.0" customHeight="1">
      <c r="A1028" s="54"/>
      <c r="B1028" s="52"/>
      <c r="C1028" s="55"/>
      <c r="D1028" s="56"/>
      <c r="E1028" s="54"/>
      <c r="F1028" s="57"/>
      <c r="G1028" s="58"/>
      <c r="H1028" s="10"/>
      <c r="I1028" s="10"/>
      <c r="J1028" s="10"/>
      <c r="K1028" s="10"/>
    </row>
    <row r="1029" ht="30.0" customHeight="1">
      <c r="A1029" s="54"/>
      <c r="B1029" s="52"/>
      <c r="C1029" s="55"/>
      <c r="D1029" s="56"/>
      <c r="E1029" s="54"/>
      <c r="F1029" s="57"/>
      <c r="G1029" s="58"/>
      <c r="H1029" s="10"/>
      <c r="I1029" s="10"/>
      <c r="J1029" s="10"/>
      <c r="K1029" s="10"/>
    </row>
    <row r="1030" ht="30.0" customHeight="1">
      <c r="A1030" s="54"/>
      <c r="B1030" s="52"/>
      <c r="C1030" s="55"/>
      <c r="D1030" s="56"/>
      <c r="E1030" s="54"/>
      <c r="F1030" s="57"/>
      <c r="G1030" s="58"/>
      <c r="H1030" s="10"/>
      <c r="I1030" s="10"/>
      <c r="J1030" s="10"/>
      <c r="K1030" s="10"/>
    </row>
    <row r="1031" ht="30.0" customHeight="1">
      <c r="A1031" s="54"/>
      <c r="B1031" s="52"/>
      <c r="C1031" s="55"/>
      <c r="D1031" s="56"/>
      <c r="E1031" s="54"/>
      <c r="F1031" s="57"/>
      <c r="G1031" s="58"/>
      <c r="H1031" s="10"/>
      <c r="I1031" s="10"/>
      <c r="J1031" s="10"/>
      <c r="K1031" s="10"/>
    </row>
    <row r="1032" ht="30.0" customHeight="1">
      <c r="A1032" s="54"/>
      <c r="B1032" s="52"/>
      <c r="C1032" s="55"/>
      <c r="D1032" s="56"/>
      <c r="E1032" s="54"/>
      <c r="F1032" s="57"/>
      <c r="G1032" s="58"/>
      <c r="H1032" s="10"/>
      <c r="I1032" s="10"/>
      <c r="J1032" s="10"/>
      <c r="K1032" s="10"/>
    </row>
    <row r="1033" ht="30.0" customHeight="1">
      <c r="A1033" s="54"/>
      <c r="B1033" s="52"/>
      <c r="C1033" s="55"/>
      <c r="D1033" s="56"/>
      <c r="E1033" s="54"/>
      <c r="F1033" s="57"/>
      <c r="G1033" s="58"/>
      <c r="H1033" s="10"/>
      <c r="I1033" s="10"/>
      <c r="J1033" s="10"/>
      <c r="K1033" s="10"/>
    </row>
    <row r="1034" ht="30.0" customHeight="1">
      <c r="A1034" s="54"/>
      <c r="B1034" s="52"/>
      <c r="C1034" s="55"/>
      <c r="D1034" s="56"/>
      <c r="E1034" s="54"/>
      <c r="F1034" s="57"/>
      <c r="G1034" s="58"/>
      <c r="H1034" s="10"/>
      <c r="I1034" s="10"/>
      <c r="J1034" s="10"/>
      <c r="K1034" s="10"/>
    </row>
    <row r="1035" ht="30.0" customHeight="1">
      <c r="A1035" s="54"/>
      <c r="B1035" s="52"/>
      <c r="C1035" s="55"/>
      <c r="D1035" s="56"/>
      <c r="E1035" s="54"/>
      <c r="F1035" s="57"/>
      <c r="G1035" s="58"/>
      <c r="H1035" s="10"/>
      <c r="I1035" s="10"/>
      <c r="J1035" s="10"/>
      <c r="K1035" s="10"/>
    </row>
    <row r="1036" ht="30.0" customHeight="1">
      <c r="A1036" s="54"/>
      <c r="B1036" s="52"/>
      <c r="C1036" s="55"/>
      <c r="D1036" s="56"/>
      <c r="E1036" s="54"/>
      <c r="F1036" s="57"/>
      <c r="G1036" s="58"/>
      <c r="H1036" s="10"/>
      <c r="I1036" s="10"/>
      <c r="J1036" s="10"/>
      <c r="K1036" s="10"/>
    </row>
    <row r="1037" ht="30.0" customHeight="1">
      <c r="A1037" s="54"/>
      <c r="B1037" s="52"/>
      <c r="C1037" s="55"/>
      <c r="D1037" s="56"/>
      <c r="E1037" s="54"/>
      <c r="F1037" s="57"/>
      <c r="G1037" s="58"/>
      <c r="H1037" s="10"/>
      <c r="I1037" s="10"/>
      <c r="J1037" s="10"/>
      <c r="K1037" s="10"/>
    </row>
    <row r="1038" ht="30.0" customHeight="1">
      <c r="A1038" s="54"/>
      <c r="B1038" s="52"/>
      <c r="C1038" s="55"/>
      <c r="D1038" s="56"/>
      <c r="E1038" s="54"/>
      <c r="F1038" s="57"/>
      <c r="G1038" s="58"/>
      <c r="H1038" s="10"/>
      <c r="I1038" s="10"/>
      <c r="J1038" s="10"/>
      <c r="K1038" s="10"/>
    </row>
    <row r="1039" ht="30.0" customHeight="1">
      <c r="A1039" s="54"/>
      <c r="B1039" s="52"/>
      <c r="C1039" s="55"/>
      <c r="D1039" s="56"/>
      <c r="E1039" s="54"/>
      <c r="F1039" s="57"/>
      <c r="G1039" s="58"/>
      <c r="H1039" s="10"/>
      <c r="I1039" s="10"/>
      <c r="J1039" s="10"/>
      <c r="K1039" s="10"/>
    </row>
    <row r="1040" ht="30.0" customHeight="1">
      <c r="A1040" s="54"/>
      <c r="B1040" s="52"/>
      <c r="C1040" s="55"/>
      <c r="D1040" s="56"/>
      <c r="E1040" s="54"/>
      <c r="F1040" s="57"/>
      <c r="G1040" s="58"/>
      <c r="H1040" s="10"/>
      <c r="I1040" s="10"/>
      <c r="J1040" s="10"/>
      <c r="K1040" s="10"/>
    </row>
    <row r="1041" ht="30.0" customHeight="1">
      <c r="A1041" s="54"/>
      <c r="B1041" s="52"/>
      <c r="C1041" s="55"/>
      <c r="D1041" s="56"/>
      <c r="E1041" s="54"/>
      <c r="F1041" s="57"/>
      <c r="G1041" s="58"/>
      <c r="H1041" s="10"/>
      <c r="I1041" s="10"/>
      <c r="J1041" s="10"/>
      <c r="K1041" s="10"/>
    </row>
    <row r="1042" ht="30.0" customHeight="1">
      <c r="A1042" s="54"/>
      <c r="B1042" s="52"/>
      <c r="C1042" s="55"/>
      <c r="D1042" s="56"/>
      <c r="E1042" s="54"/>
      <c r="F1042" s="57"/>
      <c r="G1042" s="58"/>
      <c r="H1042" s="10"/>
      <c r="I1042" s="10"/>
      <c r="J1042" s="10"/>
      <c r="K1042" s="10"/>
    </row>
    <row r="1043" ht="30.0" customHeight="1">
      <c r="A1043" s="54"/>
      <c r="B1043" s="52"/>
      <c r="C1043" s="55"/>
      <c r="D1043" s="56"/>
      <c r="E1043" s="54"/>
      <c r="F1043" s="57"/>
      <c r="G1043" s="58"/>
      <c r="H1043" s="10"/>
      <c r="I1043" s="10"/>
      <c r="J1043" s="10"/>
      <c r="K1043" s="10"/>
    </row>
    <row r="1044" ht="30.0" customHeight="1">
      <c r="A1044" s="54"/>
      <c r="B1044" s="52"/>
      <c r="C1044" s="55"/>
      <c r="D1044" s="56"/>
      <c r="E1044" s="54"/>
      <c r="F1044" s="57"/>
      <c r="G1044" s="58"/>
      <c r="H1044" s="10"/>
      <c r="I1044" s="10"/>
      <c r="J1044" s="10"/>
      <c r="K1044" s="10"/>
    </row>
    <row r="1045" ht="30.0" customHeight="1">
      <c r="A1045" s="54"/>
      <c r="B1045" s="52"/>
      <c r="C1045" s="55"/>
      <c r="D1045" s="56"/>
      <c r="E1045" s="54"/>
      <c r="F1045" s="57"/>
      <c r="G1045" s="58"/>
      <c r="H1045" s="10"/>
      <c r="I1045" s="10"/>
      <c r="J1045" s="10"/>
      <c r="K1045" s="10"/>
    </row>
    <row r="1046" ht="30.0" customHeight="1">
      <c r="A1046" s="54"/>
      <c r="B1046" s="52"/>
      <c r="C1046" s="55"/>
      <c r="D1046" s="56"/>
      <c r="E1046" s="54"/>
      <c r="F1046" s="57"/>
      <c r="G1046" s="58"/>
      <c r="H1046" s="10"/>
      <c r="I1046" s="10"/>
      <c r="J1046" s="10"/>
      <c r="K1046" s="10"/>
    </row>
    <row r="1047" ht="30.0" customHeight="1">
      <c r="A1047" s="54"/>
      <c r="B1047" s="52"/>
      <c r="C1047" s="55"/>
      <c r="D1047" s="56"/>
      <c r="E1047" s="54"/>
      <c r="F1047" s="57"/>
      <c r="G1047" s="58"/>
      <c r="H1047" s="10"/>
      <c r="I1047" s="10"/>
      <c r="J1047" s="10"/>
      <c r="K1047" s="10"/>
    </row>
    <row r="1048" ht="30.0" customHeight="1">
      <c r="A1048" s="54"/>
      <c r="B1048" s="52"/>
      <c r="C1048" s="55"/>
      <c r="D1048" s="56"/>
      <c r="E1048" s="54"/>
      <c r="F1048" s="57"/>
      <c r="G1048" s="58"/>
      <c r="H1048" s="10"/>
      <c r="I1048" s="10"/>
      <c r="J1048" s="10"/>
      <c r="K1048" s="10"/>
    </row>
    <row r="1049" ht="30.0" customHeight="1">
      <c r="A1049" s="54"/>
      <c r="B1049" s="52"/>
      <c r="C1049" s="55"/>
      <c r="D1049" s="56"/>
      <c r="E1049" s="54"/>
      <c r="F1049" s="57"/>
      <c r="G1049" s="58"/>
      <c r="H1049" s="10"/>
      <c r="I1049" s="10"/>
      <c r="J1049" s="10"/>
      <c r="K1049" s="10"/>
    </row>
    <row r="1050" ht="30.0" customHeight="1">
      <c r="A1050" s="54"/>
      <c r="B1050" s="52"/>
      <c r="C1050" s="55"/>
      <c r="D1050" s="56"/>
      <c r="E1050" s="54"/>
      <c r="F1050" s="57"/>
      <c r="G1050" s="58"/>
      <c r="H1050" s="10"/>
      <c r="I1050" s="10"/>
      <c r="J1050" s="10"/>
      <c r="K1050" s="10"/>
    </row>
    <row r="1051" ht="30.0" customHeight="1">
      <c r="A1051" s="54"/>
      <c r="B1051" s="52"/>
      <c r="C1051" s="55"/>
      <c r="D1051" s="56"/>
      <c r="E1051" s="54"/>
      <c r="F1051" s="57"/>
      <c r="G1051" s="58"/>
      <c r="H1051" s="10"/>
      <c r="I1051" s="10"/>
      <c r="J1051" s="10"/>
      <c r="K1051" s="10"/>
    </row>
    <row r="1052" ht="30.0" customHeight="1">
      <c r="A1052" s="54"/>
      <c r="B1052" s="52"/>
      <c r="C1052" s="55"/>
      <c r="D1052" s="56"/>
      <c r="E1052" s="54"/>
      <c r="F1052" s="57"/>
      <c r="G1052" s="58"/>
      <c r="H1052" s="10"/>
      <c r="I1052" s="10"/>
      <c r="J1052" s="10"/>
      <c r="K1052" s="10"/>
    </row>
    <row r="1053" ht="30.0" customHeight="1">
      <c r="A1053" s="54"/>
      <c r="B1053" s="52"/>
      <c r="C1053" s="55"/>
      <c r="D1053" s="56"/>
      <c r="E1053" s="54"/>
      <c r="F1053" s="57"/>
      <c r="G1053" s="58"/>
      <c r="H1053" s="10"/>
      <c r="I1053" s="10"/>
      <c r="J1053" s="10"/>
      <c r="K1053" s="10"/>
    </row>
    <row r="1054" ht="30.0" customHeight="1">
      <c r="A1054" s="54"/>
      <c r="B1054" s="52"/>
      <c r="C1054" s="55"/>
      <c r="D1054" s="56"/>
      <c r="E1054" s="54"/>
      <c r="F1054" s="57"/>
      <c r="G1054" s="58"/>
      <c r="H1054" s="10"/>
      <c r="I1054" s="10"/>
      <c r="J1054" s="10"/>
      <c r="K1054" s="10"/>
    </row>
    <row r="1055" ht="30.0" customHeight="1">
      <c r="A1055" s="54"/>
      <c r="B1055" s="52"/>
      <c r="C1055" s="55"/>
      <c r="D1055" s="56"/>
      <c r="E1055" s="54"/>
      <c r="F1055" s="57"/>
      <c r="G1055" s="58"/>
      <c r="H1055" s="10"/>
      <c r="I1055" s="10"/>
      <c r="J1055" s="10"/>
      <c r="K1055" s="10"/>
    </row>
    <row r="1056" ht="30.0" customHeight="1">
      <c r="A1056" s="54"/>
      <c r="B1056" s="52"/>
      <c r="C1056" s="55"/>
      <c r="D1056" s="56"/>
      <c r="E1056" s="54"/>
      <c r="F1056" s="57"/>
      <c r="G1056" s="58"/>
      <c r="H1056" s="10"/>
      <c r="I1056" s="10"/>
      <c r="J1056" s="10"/>
      <c r="K1056" s="10"/>
    </row>
    <row r="1057" ht="30.0" customHeight="1">
      <c r="A1057" s="54"/>
      <c r="B1057" s="52"/>
      <c r="C1057" s="55"/>
      <c r="D1057" s="56"/>
      <c r="E1057" s="54"/>
      <c r="F1057" s="57"/>
      <c r="G1057" s="58"/>
      <c r="H1057" s="10"/>
      <c r="I1057" s="10"/>
      <c r="J1057" s="10"/>
      <c r="K1057" s="10"/>
    </row>
    <row r="1058" ht="30.0" customHeight="1">
      <c r="A1058" s="54"/>
      <c r="B1058" s="52"/>
      <c r="C1058" s="55"/>
      <c r="D1058" s="56"/>
      <c r="E1058" s="54"/>
      <c r="F1058" s="57"/>
      <c r="G1058" s="58"/>
      <c r="H1058" s="10"/>
      <c r="I1058" s="10"/>
      <c r="J1058" s="10"/>
      <c r="K1058" s="10"/>
    </row>
    <row r="1059" ht="30.0" customHeight="1">
      <c r="A1059" s="54"/>
      <c r="B1059" s="52"/>
      <c r="C1059" s="55"/>
      <c r="D1059" s="56"/>
      <c r="E1059" s="54"/>
      <c r="F1059" s="57"/>
      <c r="G1059" s="58"/>
      <c r="H1059" s="10"/>
      <c r="I1059" s="10"/>
      <c r="J1059" s="10"/>
      <c r="K1059" s="10"/>
    </row>
    <row r="1060" ht="30.0" customHeight="1">
      <c r="A1060" s="54"/>
      <c r="B1060" s="52"/>
      <c r="C1060" s="55"/>
      <c r="D1060" s="56"/>
      <c r="E1060" s="54"/>
      <c r="F1060" s="57"/>
      <c r="G1060" s="58"/>
      <c r="H1060" s="10"/>
      <c r="I1060" s="10"/>
      <c r="J1060" s="10"/>
      <c r="K1060" s="10"/>
    </row>
    <row r="1061" ht="30.0" customHeight="1">
      <c r="A1061" s="54"/>
      <c r="B1061" s="52"/>
      <c r="C1061" s="55"/>
      <c r="D1061" s="56"/>
      <c r="E1061" s="54"/>
      <c r="F1061" s="57"/>
      <c r="G1061" s="58"/>
      <c r="H1061" s="10"/>
      <c r="I1061" s="10"/>
      <c r="J1061" s="10"/>
      <c r="K1061" s="10"/>
    </row>
    <row r="1062" ht="30.0" customHeight="1">
      <c r="A1062" s="54"/>
      <c r="B1062" s="52"/>
      <c r="C1062" s="55"/>
      <c r="D1062" s="56"/>
      <c r="E1062" s="54"/>
      <c r="F1062" s="57"/>
      <c r="G1062" s="58"/>
      <c r="H1062" s="10"/>
      <c r="I1062" s="10"/>
      <c r="J1062" s="10"/>
      <c r="K1062" s="10"/>
    </row>
    <row r="1063" ht="30.0" customHeight="1">
      <c r="A1063" s="54"/>
      <c r="B1063" s="52"/>
      <c r="C1063" s="55"/>
      <c r="D1063" s="56"/>
      <c r="E1063" s="54"/>
      <c r="F1063" s="57"/>
      <c r="G1063" s="58"/>
      <c r="H1063" s="10"/>
      <c r="I1063" s="10"/>
      <c r="J1063" s="10"/>
      <c r="K1063" s="10"/>
    </row>
    <row r="1064" ht="30.0" customHeight="1">
      <c r="A1064" s="54"/>
      <c r="B1064" s="52"/>
      <c r="C1064" s="55"/>
      <c r="D1064" s="56"/>
      <c r="E1064" s="54"/>
      <c r="F1064" s="57"/>
      <c r="G1064" s="58"/>
      <c r="H1064" s="10"/>
      <c r="I1064" s="10"/>
      <c r="J1064" s="10"/>
      <c r="K1064" s="10"/>
    </row>
    <row r="1065" ht="30.0" customHeight="1">
      <c r="A1065" s="54"/>
      <c r="B1065" s="52"/>
      <c r="C1065" s="55"/>
      <c r="D1065" s="56"/>
      <c r="E1065" s="54"/>
      <c r="F1065" s="57"/>
      <c r="G1065" s="58"/>
      <c r="H1065" s="10"/>
      <c r="I1065" s="10"/>
      <c r="J1065" s="10"/>
      <c r="K1065" s="10"/>
    </row>
    <row r="1066" ht="30.0" customHeight="1">
      <c r="A1066" s="54"/>
      <c r="B1066" s="52"/>
      <c r="C1066" s="55"/>
      <c r="D1066" s="56"/>
      <c r="E1066" s="54"/>
      <c r="F1066" s="57"/>
      <c r="G1066" s="58"/>
      <c r="H1066" s="10"/>
      <c r="I1066" s="10"/>
      <c r="J1066" s="10"/>
      <c r="K1066" s="10"/>
    </row>
    <row r="1067" ht="30.0" customHeight="1">
      <c r="A1067" s="54"/>
      <c r="B1067" s="52"/>
      <c r="C1067" s="55"/>
      <c r="D1067" s="56"/>
      <c r="E1067" s="54"/>
      <c r="F1067" s="57"/>
      <c r="G1067" s="58"/>
      <c r="H1067" s="10"/>
      <c r="I1067" s="10"/>
      <c r="J1067" s="10"/>
      <c r="K1067" s="10"/>
    </row>
    <row r="1068" ht="30.0" customHeight="1">
      <c r="A1068" s="54"/>
      <c r="B1068" s="52"/>
      <c r="C1068" s="55"/>
      <c r="D1068" s="56"/>
      <c r="E1068" s="54"/>
      <c r="F1068" s="57"/>
      <c r="G1068" s="58"/>
      <c r="H1068" s="10"/>
      <c r="I1068" s="10"/>
      <c r="J1068" s="10"/>
      <c r="K1068" s="10"/>
    </row>
    <row r="1069" ht="30.0" customHeight="1">
      <c r="A1069" s="54"/>
      <c r="B1069" s="52"/>
      <c r="C1069" s="55"/>
      <c r="D1069" s="56"/>
      <c r="E1069" s="54"/>
      <c r="F1069" s="57"/>
      <c r="G1069" s="58"/>
      <c r="H1069" s="10"/>
      <c r="I1069" s="10"/>
      <c r="J1069" s="10"/>
      <c r="K1069" s="10"/>
    </row>
    <row r="1070" ht="30.0" customHeight="1">
      <c r="A1070" s="54"/>
      <c r="B1070" s="52"/>
      <c r="C1070" s="55"/>
      <c r="D1070" s="56"/>
      <c r="E1070" s="54"/>
      <c r="F1070" s="57"/>
      <c r="G1070" s="58"/>
      <c r="H1070" s="10"/>
      <c r="I1070" s="10"/>
      <c r="J1070" s="10"/>
      <c r="K1070" s="10"/>
    </row>
    <row r="1071" ht="30.0" customHeight="1">
      <c r="A1071" s="54"/>
      <c r="B1071" s="52"/>
      <c r="C1071" s="55"/>
      <c r="D1071" s="56"/>
      <c r="E1071" s="54"/>
      <c r="F1071" s="57"/>
      <c r="G1071" s="58"/>
      <c r="H1071" s="10"/>
      <c r="I1071" s="10"/>
      <c r="J1071" s="10"/>
      <c r="K1071" s="10"/>
    </row>
    <row r="1072" ht="30.0" customHeight="1">
      <c r="A1072" s="54"/>
      <c r="B1072" s="52"/>
      <c r="C1072" s="55"/>
      <c r="D1072" s="56"/>
      <c r="E1072" s="54"/>
      <c r="F1072" s="57"/>
      <c r="G1072" s="58"/>
      <c r="H1072" s="10"/>
      <c r="I1072" s="10"/>
      <c r="J1072" s="10"/>
      <c r="K1072" s="10"/>
    </row>
    <row r="1073" ht="30.0" customHeight="1">
      <c r="A1073" s="54"/>
      <c r="B1073" s="52"/>
      <c r="C1073" s="55"/>
      <c r="D1073" s="56"/>
      <c r="E1073" s="54"/>
      <c r="F1073" s="57"/>
      <c r="G1073" s="58"/>
      <c r="H1073" s="10"/>
      <c r="I1073" s="10"/>
      <c r="J1073" s="10"/>
      <c r="K1073" s="10"/>
    </row>
    <row r="1074" ht="30.0" customHeight="1">
      <c r="A1074" s="54"/>
      <c r="B1074" s="52"/>
      <c r="C1074" s="55"/>
      <c r="D1074" s="56"/>
      <c r="E1074" s="54"/>
      <c r="F1074" s="57"/>
      <c r="G1074" s="58"/>
      <c r="H1074" s="10"/>
      <c r="I1074" s="10"/>
      <c r="J1074" s="10"/>
      <c r="K1074" s="10"/>
    </row>
    <row r="1075" ht="30.0" customHeight="1">
      <c r="A1075" s="54"/>
      <c r="B1075" s="52"/>
      <c r="C1075" s="55"/>
      <c r="D1075" s="56"/>
      <c r="E1075" s="54"/>
      <c r="F1075" s="57"/>
      <c r="G1075" s="58"/>
      <c r="H1075" s="10"/>
      <c r="I1075" s="10"/>
      <c r="J1075" s="10"/>
      <c r="K1075" s="10"/>
    </row>
    <row r="1076" ht="30.0" customHeight="1">
      <c r="A1076" s="54"/>
      <c r="B1076" s="52"/>
      <c r="C1076" s="55"/>
      <c r="D1076" s="56"/>
      <c r="E1076" s="54"/>
      <c r="F1076" s="57"/>
      <c r="G1076" s="58"/>
      <c r="H1076" s="10"/>
      <c r="I1076" s="10"/>
      <c r="J1076" s="10"/>
      <c r="K1076" s="10"/>
    </row>
    <row r="1077" ht="30.0" customHeight="1">
      <c r="A1077" s="54"/>
      <c r="B1077" s="52"/>
      <c r="C1077" s="55"/>
      <c r="D1077" s="56"/>
      <c r="E1077" s="54"/>
      <c r="F1077" s="57"/>
      <c r="G1077" s="58"/>
      <c r="H1077" s="10"/>
      <c r="I1077" s="10"/>
      <c r="J1077" s="10"/>
      <c r="K1077" s="10"/>
    </row>
    <row r="1078" ht="30.0" customHeight="1">
      <c r="A1078" s="54"/>
      <c r="B1078" s="52"/>
      <c r="C1078" s="55"/>
      <c r="D1078" s="56"/>
      <c r="E1078" s="54"/>
      <c r="F1078" s="57"/>
      <c r="G1078" s="58"/>
      <c r="H1078" s="10"/>
      <c r="I1078" s="10"/>
      <c r="J1078" s="10"/>
      <c r="K1078" s="10"/>
    </row>
    <row r="1079" ht="30.0" customHeight="1">
      <c r="A1079" s="54"/>
      <c r="B1079" s="52"/>
      <c r="C1079" s="55"/>
      <c r="D1079" s="56"/>
      <c r="E1079" s="54"/>
      <c r="F1079" s="57"/>
      <c r="G1079" s="58"/>
      <c r="H1079" s="10"/>
      <c r="I1079" s="10"/>
      <c r="J1079" s="10"/>
      <c r="K1079" s="10"/>
    </row>
    <row r="1080" ht="30.0" customHeight="1">
      <c r="A1080" s="54"/>
      <c r="B1080" s="52"/>
      <c r="C1080" s="55"/>
      <c r="D1080" s="56"/>
      <c r="E1080" s="54"/>
      <c r="F1080" s="57"/>
      <c r="G1080" s="58"/>
      <c r="H1080" s="10"/>
      <c r="I1080" s="10"/>
      <c r="J1080" s="10"/>
      <c r="K1080" s="10"/>
    </row>
    <row r="1081" ht="30.0" customHeight="1">
      <c r="A1081" s="54"/>
      <c r="B1081" s="52"/>
      <c r="C1081" s="55"/>
      <c r="D1081" s="56"/>
      <c r="E1081" s="54"/>
      <c r="F1081" s="57"/>
      <c r="G1081" s="58"/>
      <c r="H1081" s="10"/>
      <c r="I1081" s="10"/>
      <c r="J1081" s="10"/>
      <c r="K1081" s="10"/>
    </row>
    <row r="1082" ht="30.0" customHeight="1">
      <c r="A1082" s="54"/>
      <c r="B1082" s="52"/>
      <c r="C1082" s="55"/>
      <c r="D1082" s="56"/>
      <c r="E1082" s="54"/>
      <c r="F1082" s="57"/>
      <c r="G1082" s="58"/>
      <c r="H1082" s="10"/>
      <c r="I1082" s="10"/>
      <c r="J1082" s="10"/>
      <c r="K1082" s="10"/>
    </row>
    <row r="1083" ht="30.0" customHeight="1">
      <c r="A1083" s="54"/>
      <c r="B1083" s="52"/>
      <c r="C1083" s="55"/>
      <c r="D1083" s="56"/>
      <c r="E1083" s="54"/>
      <c r="F1083" s="57"/>
      <c r="G1083" s="58"/>
      <c r="H1083" s="10"/>
      <c r="I1083" s="10"/>
      <c r="J1083" s="10"/>
      <c r="K1083" s="10"/>
    </row>
    <row r="1084" ht="30.0" customHeight="1">
      <c r="A1084" s="54"/>
      <c r="B1084" s="52"/>
      <c r="C1084" s="55"/>
      <c r="D1084" s="56"/>
      <c r="E1084" s="54"/>
      <c r="F1084" s="57"/>
      <c r="G1084" s="58"/>
      <c r="H1084" s="10"/>
      <c r="I1084" s="10"/>
      <c r="J1084" s="10"/>
      <c r="K1084" s="10"/>
    </row>
    <row r="1085" ht="30.0" customHeight="1">
      <c r="A1085" s="54"/>
      <c r="B1085" s="52"/>
      <c r="C1085" s="55"/>
      <c r="D1085" s="56"/>
      <c r="E1085" s="54"/>
      <c r="F1085" s="57"/>
      <c r="G1085" s="58"/>
      <c r="H1085" s="10"/>
      <c r="I1085" s="10"/>
      <c r="J1085" s="10"/>
      <c r="K1085" s="10"/>
    </row>
    <row r="1086" ht="30.0" customHeight="1">
      <c r="A1086" s="54"/>
      <c r="B1086" s="52"/>
      <c r="C1086" s="55"/>
      <c r="D1086" s="56"/>
      <c r="E1086" s="54"/>
      <c r="F1086" s="57"/>
      <c r="G1086" s="58"/>
      <c r="H1086" s="10"/>
      <c r="I1086" s="10"/>
      <c r="J1086" s="10"/>
      <c r="K1086" s="10"/>
    </row>
    <row r="1087" ht="30.0" customHeight="1">
      <c r="A1087" s="54"/>
      <c r="B1087" s="52"/>
      <c r="C1087" s="55"/>
      <c r="D1087" s="56"/>
      <c r="E1087" s="54"/>
      <c r="F1087" s="57"/>
      <c r="G1087" s="58"/>
      <c r="H1087" s="10"/>
      <c r="I1087" s="10"/>
      <c r="J1087" s="10"/>
      <c r="K1087" s="10"/>
    </row>
    <row r="1088" ht="30.0" customHeight="1">
      <c r="A1088" s="54"/>
      <c r="B1088" s="52"/>
      <c r="C1088" s="55"/>
      <c r="D1088" s="56"/>
      <c r="E1088" s="54"/>
      <c r="F1088" s="57"/>
      <c r="G1088" s="58"/>
      <c r="H1088" s="10"/>
      <c r="I1088" s="10"/>
      <c r="J1088" s="10"/>
      <c r="K1088" s="10"/>
    </row>
    <row r="1089" ht="30.0" customHeight="1">
      <c r="A1089" s="54"/>
      <c r="B1089" s="52"/>
      <c r="C1089" s="55"/>
      <c r="D1089" s="56"/>
      <c r="E1089" s="54"/>
      <c r="F1089" s="57"/>
      <c r="G1089" s="58"/>
      <c r="H1089" s="10"/>
      <c r="I1089" s="10"/>
      <c r="J1089" s="10"/>
      <c r="K1089" s="10"/>
    </row>
    <row r="1090" ht="30.0" customHeight="1">
      <c r="A1090" s="54"/>
      <c r="B1090" s="52"/>
      <c r="C1090" s="55"/>
      <c r="D1090" s="56"/>
      <c r="E1090" s="54"/>
      <c r="F1090" s="57"/>
      <c r="G1090" s="58"/>
      <c r="H1090" s="10"/>
      <c r="I1090" s="10"/>
      <c r="J1090" s="10"/>
      <c r="K1090" s="10"/>
    </row>
    <row r="1091" ht="30.0" customHeight="1">
      <c r="A1091" s="54"/>
      <c r="B1091" s="52"/>
      <c r="C1091" s="55"/>
      <c r="D1091" s="56"/>
      <c r="E1091" s="54"/>
      <c r="F1091" s="57"/>
      <c r="G1091" s="58"/>
      <c r="H1091" s="10"/>
      <c r="I1091" s="10"/>
      <c r="J1091" s="10"/>
      <c r="K1091" s="10"/>
    </row>
    <row r="1092" ht="30.0" customHeight="1">
      <c r="A1092" s="54"/>
      <c r="B1092" s="52"/>
      <c r="C1092" s="55"/>
      <c r="D1092" s="56"/>
      <c r="E1092" s="54"/>
      <c r="F1092" s="57"/>
      <c r="G1092" s="58"/>
      <c r="H1092" s="10"/>
      <c r="I1092" s="10"/>
      <c r="J1092" s="10"/>
      <c r="K1092" s="10"/>
    </row>
    <row r="1093" ht="30.0" customHeight="1">
      <c r="A1093" s="54"/>
      <c r="B1093" s="52"/>
      <c r="C1093" s="55"/>
      <c r="D1093" s="56"/>
      <c r="E1093" s="54"/>
      <c r="F1093" s="57"/>
      <c r="G1093" s="58"/>
      <c r="H1093" s="10"/>
      <c r="I1093" s="10"/>
      <c r="J1093" s="10"/>
      <c r="K1093" s="10"/>
    </row>
    <row r="1094" ht="30.0" customHeight="1">
      <c r="A1094" s="54"/>
      <c r="B1094" s="52"/>
      <c r="C1094" s="55"/>
      <c r="D1094" s="56"/>
      <c r="E1094" s="54"/>
      <c r="F1094" s="57"/>
      <c r="G1094" s="58"/>
      <c r="H1094" s="10"/>
      <c r="I1094" s="10"/>
      <c r="J1094" s="10"/>
      <c r="K1094" s="10"/>
    </row>
    <row r="1095" ht="30.0" customHeight="1">
      <c r="A1095" s="54"/>
      <c r="B1095" s="52"/>
      <c r="C1095" s="55"/>
      <c r="D1095" s="56"/>
      <c r="E1095" s="54"/>
      <c r="F1095" s="57"/>
      <c r="G1095" s="58"/>
      <c r="H1095" s="10"/>
      <c r="I1095" s="10"/>
      <c r="J1095" s="10"/>
      <c r="K1095" s="10"/>
    </row>
    <row r="1096" ht="30.0" customHeight="1">
      <c r="A1096" s="54"/>
      <c r="B1096" s="52"/>
      <c r="C1096" s="55"/>
      <c r="D1096" s="56"/>
      <c r="E1096" s="54"/>
      <c r="F1096" s="57"/>
      <c r="G1096" s="58"/>
      <c r="H1096" s="10"/>
      <c r="I1096" s="10"/>
      <c r="J1096" s="10"/>
      <c r="K1096" s="10"/>
    </row>
    <row r="1097" ht="30.0" customHeight="1">
      <c r="A1097" s="54"/>
      <c r="B1097" s="52"/>
      <c r="C1097" s="55"/>
      <c r="D1097" s="56"/>
      <c r="E1097" s="54"/>
      <c r="F1097" s="57"/>
      <c r="G1097" s="58"/>
      <c r="H1097" s="10"/>
      <c r="I1097" s="10"/>
      <c r="J1097" s="10"/>
      <c r="K1097" s="10"/>
    </row>
    <row r="1098" ht="30.0" customHeight="1">
      <c r="A1098" s="54"/>
      <c r="B1098" s="52"/>
      <c r="C1098" s="55"/>
      <c r="D1098" s="56"/>
      <c r="E1098" s="54"/>
      <c r="F1098" s="57"/>
      <c r="G1098" s="58"/>
      <c r="H1098" s="10"/>
      <c r="I1098" s="10"/>
      <c r="J1098" s="10"/>
      <c r="K1098" s="10"/>
    </row>
    <row r="1099" ht="30.0" customHeight="1">
      <c r="A1099" s="54"/>
      <c r="B1099" s="52"/>
      <c r="C1099" s="55"/>
      <c r="D1099" s="56"/>
      <c r="E1099" s="54"/>
      <c r="F1099" s="57"/>
      <c r="G1099" s="58"/>
      <c r="H1099" s="10"/>
      <c r="I1099" s="10"/>
      <c r="J1099" s="10"/>
      <c r="K1099" s="10"/>
    </row>
    <row r="1100" ht="30.0" customHeight="1">
      <c r="A1100" s="54"/>
      <c r="B1100" s="52"/>
      <c r="C1100" s="55"/>
      <c r="D1100" s="56"/>
      <c r="E1100" s="54"/>
      <c r="F1100" s="57"/>
      <c r="G1100" s="58"/>
      <c r="H1100" s="10"/>
      <c r="I1100" s="10"/>
      <c r="J1100" s="10"/>
      <c r="K1100" s="10"/>
    </row>
    <row r="1101" ht="30.0" customHeight="1">
      <c r="A1101" s="54"/>
      <c r="B1101" s="52"/>
      <c r="C1101" s="55"/>
      <c r="D1101" s="56"/>
      <c r="E1101" s="54"/>
      <c r="F1101" s="57"/>
      <c r="G1101" s="58"/>
      <c r="H1101" s="10"/>
      <c r="I1101" s="10"/>
      <c r="J1101" s="10"/>
      <c r="K1101" s="10"/>
    </row>
    <row r="1102" ht="30.0" customHeight="1">
      <c r="A1102" s="54"/>
      <c r="B1102" s="52"/>
      <c r="C1102" s="55"/>
      <c r="D1102" s="56"/>
      <c r="E1102" s="54"/>
      <c r="F1102" s="57"/>
      <c r="G1102" s="58"/>
      <c r="H1102" s="10"/>
      <c r="I1102" s="10"/>
      <c r="J1102" s="10"/>
      <c r="K1102" s="10"/>
    </row>
    <row r="1103" ht="30.0" customHeight="1">
      <c r="A1103" s="54"/>
      <c r="B1103" s="52"/>
      <c r="C1103" s="55"/>
      <c r="D1103" s="56"/>
      <c r="E1103" s="54"/>
      <c r="F1103" s="57"/>
      <c r="G1103" s="58"/>
      <c r="H1103" s="10"/>
      <c r="I1103" s="10"/>
      <c r="J1103" s="10"/>
      <c r="K1103" s="10"/>
    </row>
    <row r="1104" ht="30.0" customHeight="1">
      <c r="A1104" s="54"/>
      <c r="B1104" s="52"/>
      <c r="C1104" s="55"/>
      <c r="D1104" s="56"/>
      <c r="E1104" s="54"/>
      <c r="F1104" s="57"/>
      <c r="G1104" s="58"/>
      <c r="H1104" s="10"/>
      <c r="I1104" s="10"/>
      <c r="J1104" s="10"/>
      <c r="K1104" s="10"/>
    </row>
    <row r="1105" ht="30.0" customHeight="1">
      <c r="A1105" s="54"/>
      <c r="B1105" s="52"/>
      <c r="C1105" s="55"/>
      <c r="D1105" s="56"/>
      <c r="E1105" s="54"/>
      <c r="F1105" s="57"/>
      <c r="G1105" s="58"/>
      <c r="H1105" s="10"/>
      <c r="I1105" s="10"/>
      <c r="J1105" s="10"/>
      <c r="K1105" s="10"/>
    </row>
    <row r="1106" ht="30.0" customHeight="1">
      <c r="A1106" s="54"/>
      <c r="B1106" s="52"/>
      <c r="C1106" s="55"/>
      <c r="D1106" s="56"/>
      <c r="E1106" s="54"/>
      <c r="F1106" s="57"/>
      <c r="G1106" s="58"/>
      <c r="H1106" s="10"/>
      <c r="I1106" s="10"/>
      <c r="J1106" s="10"/>
      <c r="K1106" s="10"/>
    </row>
    <row r="1107" ht="30.0" customHeight="1">
      <c r="A1107" s="54"/>
      <c r="B1107" s="52"/>
      <c r="C1107" s="55"/>
      <c r="D1107" s="56"/>
      <c r="E1107" s="54"/>
      <c r="F1107" s="57"/>
      <c r="G1107" s="58"/>
      <c r="H1107" s="10"/>
      <c r="I1107" s="10"/>
      <c r="J1107" s="10"/>
      <c r="K1107" s="10"/>
    </row>
    <row r="1108" ht="30.0" customHeight="1">
      <c r="A1108" s="54"/>
      <c r="B1108" s="52"/>
      <c r="C1108" s="55"/>
      <c r="D1108" s="56"/>
      <c r="E1108" s="54"/>
      <c r="F1108" s="57"/>
      <c r="G1108" s="58"/>
      <c r="H1108" s="10"/>
      <c r="I1108" s="10"/>
      <c r="J1108" s="10"/>
      <c r="K1108" s="10"/>
    </row>
    <row r="1109" ht="30.0" customHeight="1">
      <c r="A1109" s="54"/>
      <c r="B1109" s="52"/>
      <c r="C1109" s="55"/>
      <c r="D1109" s="56"/>
      <c r="E1109" s="54"/>
      <c r="F1109" s="57"/>
      <c r="G1109" s="58"/>
      <c r="H1109" s="10"/>
      <c r="I1109" s="10"/>
      <c r="J1109" s="10"/>
      <c r="K1109" s="10"/>
    </row>
    <row r="1110" ht="30.0" customHeight="1">
      <c r="A1110" s="54"/>
      <c r="B1110" s="52"/>
      <c r="C1110" s="55"/>
      <c r="D1110" s="56"/>
      <c r="E1110" s="54"/>
      <c r="F1110" s="57"/>
      <c r="G1110" s="58"/>
      <c r="H1110" s="10"/>
      <c r="I1110" s="10"/>
      <c r="J1110" s="10"/>
      <c r="K1110" s="10"/>
    </row>
    <row r="1111" ht="30.0" customHeight="1">
      <c r="A1111" s="54"/>
      <c r="B1111" s="52"/>
      <c r="C1111" s="55"/>
      <c r="D1111" s="56"/>
      <c r="E1111" s="54"/>
      <c r="F1111" s="57"/>
      <c r="G1111" s="58"/>
      <c r="H1111" s="10"/>
      <c r="I1111" s="10"/>
      <c r="J1111" s="10"/>
      <c r="K1111" s="10"/>
    </row>
    <row r="1112" ht="30.0" customHeight="1">
      <c r="A1112" s="54"/>
      <c r="B1112" s="52"/>
      <c r="C1112" s="55"/>
      <c r="D1112" s="56"/>
      <c r="E1112" s="54"/>
      <c r="F1112" s="57"/>
      <c r="G1112" s="58"/>
      <c r="H1112" s="10"/>
      <c r="I1112" s="10"/>
      <c r="J1112" s="10"/>
      <c r="K1112" s="10"/>
    </row>
    <row r="1113" ht="30.0" customHeight="1">
      <c r="A1113" s="54"/>
      <c r="B1113" s="52"/>
      <c r="C1113" s="55"/>
      <c r="D1113" s="56"/>
      <c r="E1113" s="54"/>
      <c r="F1113" s="57"/>
      <c r="G1113" s="58"/>
      <c r="H1113" s="10"/>
      <c r="I1113" s="10"/>
      <c r="J1113" s="10"/>
      <c r="K1113" s="10"/>
    </row>
    <row r="1114" ht="30.0" customHeight="1">
      <c r="A1114" s="54"/>
      <c r="B1114" s="52"/>
      <c r="C1114" s="55"/>
      <c r="D1114" s="56"/>
      <c r="E1114" s="54"/>
      <c r="F1114" s="57"/>
      <c r="G1114" s="58"/>
      <c r="H1114" s="10"/>
      <c r="I1114" s="10"/>
      <c r="J1114" s="10"/>
      <c r="K1114" s="10"/>
    </row>
    <row r="1115" ht="30.0" customHeight="1">
      <c r="A1115" s="54"/>
      <c r="B1115" s="52"/>
      <c r="C1115" s="55"/>
      <c r="D1115" s="56"/>
      <c r="E1115" s="54"/>
      <c r="F1115" s="57"/>
      <c r="G1115" s="58"/>
      <c r="H1115" s="10"/>
      <c r="I1115" s="10"/>
      <c r="J1115" s="10"/>
      <c r="K1115" s="10"/>
    </row>
  </sheetData>
  <drawing r:id="rId1"/>
</worksheet>
</file>